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<sst xmlns="http://schemas.openxmlformats.org/spreadsheetml/2006/main" count="54" uniqueCount="51">
  <si>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公 開 類</t>
  </si>
  <si>
    <t>年    報</t>
  </si>
  <si>
    <t>機　　關　　別</t>
  </si>
  <si>
    <t>總  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</si>
  <si>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</si>
  <si>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</si>
  <si>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</si>
  <si>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</si>
  <si>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</si>
  <si>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</si>
  <si>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</si>
  <si>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</si>
  <si>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</si>
  <si>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</si>
  <si>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</si>
  <si>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</si>
  <si>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</si>
  <si>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</si>
  <si>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</si>
  <si>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</si>
  <si>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</si>
  <si>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</si>
  <si>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</si>
  <si>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</si>
  <si>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</si>
  <si>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</si>
  <si>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</si>
  <si>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</si>
  <si>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</si>
  <si>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第二預備金主管</t>
  </si>
  <si>
    <t>填表</t>
  </si>
  <si>
    <t>資料來源：由本處第一科依臺中市總預算書彙編。</t>
  </si>
  <si>
    <t>填表說明：1.本表編製1份，並依統計法規定永久保存，資料透過網際網路上傳至「臺中市公務統計行政管理系統」。
           2.110年10月22日府授主一字第1100271731號公告本市110年度總預算第一次追加(減)預算。</t>
  </si>
  <si>
    <t xml:space="preserve"> 預算（含追加減）發布實施後2個月內編製 </t>
  </si>
  <si>
    <t>中華民國110年</t>
  </si>
  <si>
    <t>原預算</t>
  </si>
  <si>
    <t>合計</t>
  </si>
  <si>
    <t>經常門</t>
  </si>
  <si>
    <t>審核</t>
  </si>
  <si>
    <t>臺中市總預算歲出機關別(修正表-含第一次追加減預算)</t>
  </si>
  <si>
    <t>資本門</t>
  </si>
  <si>
    <t>業務主管人員</t>
  </si>
  <si>
    <t>主辦統計人員</t>
  </si>
  <si>
    <t>追　加　(減)　後　預　算　數</t>
  </si>
  <si>
    <t>中華民國 110年11月4日編製</t>
  </si>
  <si>
    <t>機關首長</t>
  </si>
  <si>
    <t>編製機關</t>
  </si>
  <si>
    <t xml:space="preserve"> 表    號 </t>
  </si>
  <si>
    <t>臺中市政府主計處</t>
  </si>
  <si>
    <t>20901-01-03-2</t>
  </si>
  <si>
    <t>單位：新臺幣元</t>
  </si>
</sst>
</file>

<file path=xl/styles.xml><?xml version="1.0" encoding="utf-8"?>
<styleSheet xmlns="http://schemas.openxmlformats.org/spreadsheetml/2006/main">
  <numFmts count="6">
    <numFmt numFmtId="188" formatCode="_(* #,##0.00_);_(* \(#,##0.00\);_(* &quot;-&quot;??_);_(@_)"/>
    <numFmt numFmtId="189" formatCode="_-* #,##0_-;\-* #,##0_-;_-* &quot;－&quot;_-;_-@_-"/>
    <numFmt numFmtId="190" formatCode="_-* #,##0_-;\-* #,##0_-;_-* &quot; －&quot;_-;_-@_-"/>
    <numFmt numFmtId="191" formatCode="0_);[Red]\(0\)"/>
    <numFmt numFmtId="192" formatCode="_(* #,##0_);_(* \(#,##0\);_(* &quot;-&quot;_);_(@_)"/>
    <numFmt numFmtId="193" formatCode="###,###,###,###,###;\-###,###,###,###,###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8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/>
    <xf numFmtId="189" fontId="4" fillId="0" borderId="1" xfId="20" applyNumberFormat="1" applyFont="1" applyBorder="1" applyAlignment="1">
      <alignment horizontal="center" vertical="center"/>
    </xf>
    <xf numFmtId="190" fontId="5" fillId="0" borderId="0" xfId="20" applyNumberFormat="1" applyFont="1" applyAlignment="1">
      <alignment horizontal="center" vertical="center"/>
    </xf>
    <xf numFmtId="191" fontId="4" fillId="0" borderId="2" xfId="20" applyNumberFormat="1" applyFont="1" applyBorder="1" applyAlignment="1">
      <alignment horizontal="center" vertical="center" wrapText="1"/>
    </xf>
    <xf numFmtId="191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3" xfId="20" applyFont="1" applyBorder="1"/>
    <xf numFmtId="189" fontId="6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90" fontId="6" fillId="0" borderId="0" xfId="20" applyNumberFormat="1" applyFont="1" applyAlignment="1">
      <alignment horizontal="center" vertical="center"/>
    </xf>
    <xf numFmtId="189" fontId="4" fillId="0" borderId="0" xfId="20" applyNumberFormat="1" applyFont="1" applyAlignment="1">
      <alignment horizontal="left"/>
    </xf>
    <xf numFmtId="189" fontId="4" fillId="0" borderId="0" xfId="20" applyNumberFormat="1" applyFont="1" applyAlignment="1">
      <alignment horizontal="left" vertical="center" wrapText="1"/>
    </xf>
    <xf numFmtId="189" fontId="4" fillId="0" borderId="0" xfId="20" applyNumberFormat="1" applyFont="1" applyAlignment="1">
      <alignment vertical="center"/>
    </xf>
    <xf numFmtId="189" fontId="7" fillId="0" borderId="0" xfId="20" applyNumberFormat="1" applyFont="1"/>
    <xf numFmtId="0" fontId="8" fillId="0" borderId="0" xfId="21" applyFont="1" applyAlignment="1">
      <alignment vertical="center"/>
    </xf>
    <xf numFmtId="189" fontId="9" fillId="0" borderId="2" xfId="20" applyNumberFormat="1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192" fontId="6" fillId="0" borderId="0" xfId="22" applyNumberFormat="1" applyFont="1" applyAlignment="1">
      <alignment vertical="center"/>
    </xf>
    <xf numFmtId="192" fontId="6" fillId="0" borderId="3" xfId="22" applyNumberFormat="1" applyFont="1" applyBorder="1" applyAlignment="1">
      <alignment vertical="center"/>
    </xf>
    <xf numFmtId="189" fontId="6" fillId="0" borderId="0" xfId="20" applyNumberFormat="1" applyFont="1" applyAlignment="1">
      <alignment horizontal="right" vertical="center"/>
    </xf>
    <xf numFmtId="190" fontId="6" fillId="0" borderId="0" xfId="20" applyNumberFormat="1" applyFont="1" applyAlignment="1">
      <alignment vertical="center"/>
    </xf>
    <xf numFmtId="189" fontId="6" fillId="0" borderId="0" xfId="20" applyNumberFormat="1" applyFont="1"/>
    <xf numFmtId="189" fontId="7" fillId="0" borderId="0" xfId="20" applyNumberFormat="1" applyFont="1" applyAlignment="1">
      <alignment horizontal="center" vertical="center"/>
    </xf>
    <xf numFmtId="189" fontId="10" fillId="0" borderId="3" xfId="20" applyNumberFormat="1" applyFont="1" applyBorder="1" applyAlignment="1">
      <alignment horizontal="left" vertical="center"/>
    </xf>
    <xf numFmtId="192" fontId="6" fillId="0" borderId="0" xfId="22" applyNumberFormat="1" applyFont="1" applyAlignment="1">
      <alignment horizontal="center" vertical="center"/>
    </xf>
    <xf numFmtId="188" fontId="6" fillId="0" borderId="0" xfId="22" applyNumberFormat="1" applyFont="1" applyAlignment="1">
      <alignment horizontal="center" vertical="center"/>
    </xf>
    <xf numFmtId="188" fontId="6" fillId="0" borderId="0" xfId="22" applyNumberFormat="1" applyFont="1" applyAlignment="1">
      <alignment vertical="center"/>
    </xf>
    <xf numFmtId="189" fontId="7" fillId="0" borderId="3" xfId="20" applyNumberFormat="1" applyFont="1" applyBorder="1" applyAlignment="1">
      <alignment horizontal="left" vertical="center"/>
    </xf>
    <xf numFmtId="189" fontId="11" fillId="0" borderId="2" xfId="20" applyNumberFormat="1" applyFont="1" applyBorder="1" applyAlignment="1">
      <alignment vertical="center"/>
    </xf>
    <xf numFmtId="193" fontId="6" fillId="2" borderId="0" xfId="20" applyNumberFormat="1" applyFont="1" applyFill="1" applyAlignment="1">
      <alignment horizontal="right" vertical="center"/>
    </xf>
    <xf numFmtId="192" fontId="6" fillId="2" borderId="3" xfId="20" applyNumberFormat="1" applyFont="1" applyFill="1" applyBorder="1" applyAlignment="1">
      <alignment horizontal="right" vertical="top"/>
    </xf>
    <xf numFmtId="192" fontId="4" fillId="2" borderId="0" xfId="20" applyNumberFormat="1" applyFont="1" applyFill="1" applyAlignment="1">
      <alignment horizontal="left" vertical="top"/>
    </xf>
    <xf numFmtId="49" fontId="7" fillId="0" borderId="3" xfId="20" applyNumberFormat="1" applyFont="1" applyBorder="1" applyAlignment="1">
      <alignment horizontal="left" vertical="center"/>
    </xf>
    <xf numFmtId="49" fontId="12" fillId="0" borderId="3" xfId="20" applyNumberFormat="1" applyFont="1" applyBorder="1" applyAlignment="1">
      <alignment horizontal="center" vertical="center"/>
    </xf>
    <xf numFmtId="192" fontId="4" fillId="0" borderId="0" xfId="20" applyNumberFormat="1" applyFont="1" applyAlignment="1">
      <alignment vertical="center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49" fontId="13" fillId="0" borderId="3" xfId="20" applyNumberFormat="1" applyFont="1" applyBorder="1" applyAlignment="1">
      <alignment horizontal="right" vertical="center"/>
    </xf>
    <xf numFmtId="189" fontId="9" fillId="0" borderId="0" xfId="20" applyNumberFormat="1" applyFont="1" applyAlignment="1">
      <alignment vertical="center"/>
    </xf>
    <xf numFmtId="190" fontId="4" fillId="0" borderId="0" xfId="20" applyNumberFormat="1" applyFont="1" applyAlignment="1">
      <alignment wrapText="1"/>
    </xf>
    <xf numFmtId="192" fontId="4" fillId="0" borderId="0" xfId="22" applyNumberFormat="1" applyFont="1"/>
    <xf numFmtId="190" fontId="6" fillId="0" borderId="0" xfId="20" applyNumberFormat="1" applyFont="1" applyAlignment="1">
      <alignment horizontal="right" vertical="center"/>
    </xf>
    <xf numFmtId="190" fontId="6" fillId="0" borderId="0" xfId="20" applyNumberFormat="1" applyFont="1"/>
    <xf numFmtId="189" fontId="7" fillId="0" borderId="0" xfId="20" applyNumberFormat="1" applyFont="1" applyAlignment="1">
      <alignment vertical="center"/>
    </xf>
    <xf numFmtId="49" fontId="13" fillId="0" borderId="4" xfId="20" applyNumberFormat="1" applyFont="1" applyBorder="1" applyAlignment="1">
      <alignment horizontal="right" vertical="center"/>
    </xf>
    <xf numFmtId="192" fontId="4" fillId="0" borderId="2" xfId="20" applyNumberFormat="1" applyFont="1" applyBorder="1" applyAlignment="1">
      <alignment horizontal="right" vertical="center"/>
    </xf>
    <xf numFmtId="189" fontId="4" fillId="0" borderId="0" xfId="20" applyNumberFormat="1" applyFont="1" applyAlignment="1">
      <alignment horizontal="right" vertical="center"/>
    </xf>
    <xf numFmtId="0" fontId="6" fillId="0" borderId="0" xfId="20" applyFont="1"/>
    <xf numFmtId="189" fontId="8" fillId="0" borderId="1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190" fontId="4" fillId="0" borderId="0" xfId="20" applyNumberFormat="1" applyFont="1" applyAlignment="1">
      <alignment horizontal="right" vertical="center"/>
    </xf>
    <xf numFmtId="0" fontId="4" fillId="0" borderId="5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/>
    </xf>
    <xf numFmtId="192" fontId="6" fillId="0" borderId="2" xfId="20" applyNumberFormat="1" applyFont="1" applyBorder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5" zoomScaleNormal="85" workbookViewId="0" topLeftCell="A1">
      <pane xSplit="1" ySplit="6" topLeftCell="B11" activePane="bottomRight" state="frozen"/>
      <selection pane="bottomRight" activeCell="D11" sqref="D11"/>
    </sheetView>
  </sheetViews>
  <sheetFormatPr defaultColWidth="9.57421875" defaultRowHeight="15"/>
  <cols>
    <col min="1" max="1" width="20.7109375" style="0" customWidth="1"/>
    <col min="2" max="2" width="19.57421875" style="0" customWidth="1"/>
    <col min="3" max="3" width="11.421875" style="0" customWidth="1"/>
    <col min="4" max="4" width="16.8515625" style="0" customWidth="1"/>
    <col min="5" max="5" width="11.421875" style="0" customWidth="1"/>
    <col min="6" max="6" width="17.57421875" style="0" customWidth="1"/>
    <col min="7" max="7" width="22.28125" style="0" customWidth="1"/>
    <col min="8" max="8" width="12.7109375" style="0" customWidth="1"/>
    <col min="9" max="9" width="20.28125" style="0" customWidth="1"/>
    <col min="10" max="10" width="12.28125" style="0" customWidth="1"/>
    <col min="11" max="11" width="20.28125" style="0" customWidth="1"/>
    <col min="12" max="13" width="12.140625" style="0" customWidth="1"/>
    <col min="14" max="14" width="11.140625" style="0" customWidth="1"/>
  </cols>
  <sheetData>
    <row r="1" spans="1:11" ht="20.15" customHeight="1">
      <c r="A1" s="4" t="s">
        <v>0</v>
      </c>
      <c r="B1" s="12"/>
      <c r="C1" s="29"/>
      <c r="D1" s="29"/>
      <c r="E1" s="29"/>
      <c r="F1" s="29"/>
      <c r="G1" s="29"/>
      <c r="H1" s="12"/>
      <c r="I1" s="50"/>
      <c r="J1" s="4" t="s">
        <v>46</v>
      </c>
      <c r="K1" s="55" t="s">
        <v>48</v>
      </c>
    </row>
    <row r="2" spans="1:11" ht="20.15" customHeight="1">
      <c r="A2" s="4" t="s">
        <v>1</v>
      </c>
      <c r="B2" s="19" t="s">
        <v>33</v>
      </c>
      <c r="C2" s="30"/>
      <c r="D2" s="34"/>
      <c r="E2" s="39"/>
      <c r="F2" s="40"/>
      <c r="G2" s="44"/>
      <c r="H2" s="44"/>
      <c r="I2" s="51"/>
      <c r="J2" s="4" t="s">
        <v>47</v>
      </c>
      <c r="K2" s="56" t="s">
        <v>49</v>
      </c>
    </row>
    <row r="3" spans="2:11" ht="30" customHeight="1">
      <c r="B3" s="20"/>
      <c r="C3" s="20"/>
      <c r="D3" s="35" t="s">
        <v>39</v>
      </c>
      <c r="F3" s="20"/>
      <c r="G3" s="45"/>
      <c r="H3" s="45"/>
      <c r="I3" s="20"/>
      <c r="J3" s="20"/>
      <c r="K3" s="20"/>
    </row>
    <row r="4" spans="1:11" ht="20.15" customHeight="1">
      <c r="A4" s="5"/>
      <c r="B4" s="21" t="s">
        <v>34</v>
      </c>
      <c r="C4" s="21"/>
      <c r="D4" s="21"/>
      <c r="E4" s="21"/>
      <c r="F4" s="21"/>
      <c r="G4" s="21"/>
      <c r="H4" s="21"/>
      <c r="I4" s="21"/>
      <c r="J4" s="21"/>
      <c r="K4" s="57" t="s">
        <v>50</v>
      </c>
    </row>
    <row r="5" spans="1:11" ht="20.15" customHeight="1">
      <c r="A5" s="6" t="s">
        <v>2</v>
      </c>
      <c r="B5" s="22" t="s">
        <v>35</v>
      </c>
      <c r="C5" s="22"/>
      <c r="D5" s="22"/>
      <c r="E5" s="22"/>
      <c r="F5" s="22"/>
      <c r="G5" s="22" t="s">
        <v>43</v>
      </c>
      <c r="H5" s="22"/>
      <c r="I5" s="22"/>
      <c r="J5" s="22"/>
      <c r="K5" s="58"/>
    </row>
    <row r="6" spans="1:11" ht="20.15" customHeight="1">
      <c r="A6" s="7"/>
      <c r="B6" s="23" t="s">
        <v>36</v>
      </c>
      <c r="C6" s="23" t="s">
        <v>37</v>
      </c>
      <c r="D6" s="23"/>
      <c r="E6" s="23" t="s">
        <v>40</v>
      </c>
      <c r="F6" s="23"/>
      <c r="G6" s="23" t="s">
        <v>36</v>
      </c>
      <c r="H6" s="23" t="s">
        <v>37</v>
      </c>
      <c r="I6" s="23"/>
      <c r="J6" s="23" t="s">
        <v>40</v>
      </c>
      <c r="K6" s="59"/>
    </row>
    <row r="7" spans="1:11" ht="20.15" customHeight="1">
      <c r="A7" s="8" t="s">
        <v>3</v>
      </c>
      <c r="B7" s="24">
        <f>SUM(B8:B33)</f>
        <v>142203175000</v>
      </c>
      <c r="C7" s="24"/>
      <c r="D7" s="36">
        <f>SUM(D8:D33)</f>
        <v>118407709000</v>
      </c>
      <c r="E7" s="24"/>
      <c r="F7" s="36">
        <f>SUM(F8:F33)</f>
        <v>23795466000</v>
      </c>
      <c r="G7" s="24">
        <f>SUM(G8:G33)</f>
        <v>150601725000</v>
      </c>
      <c r="H7" s="47"/>
      <c r="I7" s="36">
        <f>SUM(I8:I33)</f>
        <v>120836090000</v>
      </c>
      <c r="J7" s="47"/>
      <c r="K7" s="36">
        <f>SUM(K8:K33)</f>
        <v>29765635000</v>
      </c>
    </row>
    <row r="8" spans="1:11" ht="20.15" customHeight="1">
      <c r="A8" s="9" t="s">
        <v>4</v>
      </c>
      <c r="B8" s="24">
        <f>D8+F8</f>
        <v>796858000</v>
      </c>
      <c r="C8" s="24"/>
      <c r="D8" s="36">
        <v>789942000</v>
      </c>
      <c r="E8" s="24"/>
      <c r="F8" s="36">
        <v>6916000</v>
      </c>
      <c r="G8" s="24">
        <f>I8+K8</f>
        <v>796858000</v>
      </c>
      <c r="H8" s="24"/>
      <c r="I8" s="36">
        <v>789942000</v>
      </c>
      <c r="J8" s="24"/>
      <c r="K8" s="36">
        <v>6916000</v>
      </c>
    </row>
    <row r="9" spans="1:11" ht="20.15" customHeight="1">
      <c r="A9" s="10" t="s">
        <v>5</v>
      </c>
      <c r="B9" s="24">
        <f>D9+F9</f>
        <v>7444933000</v>
      </c>
      <c r="C9" s="31"/>
      <c r="D9" s="36">
        <v>6586159000</v>
      </c>
      <c r="E9" s="31"/>
      <c r="F9" s="36">
        <v>858774000</v>
      </c>
      <c r="G9" s="24">
        <f>I9+K9</f>
        <v>7610048000</v>
      </c>
      <c r="H9" s="31"/>
      <c r="I9" s="36">
        <f>6586159000+72697000-29140000</f>
        <v>6629716000</v>
      </c>
      <c r="J9" s="24"/>
      <c r="K9" s="36">
        <f>858774000+137506000-15948000</f>
        <v>980332000</v>
      </c>
    </row>
    <row r="10" spans="1:11" ht="20.15" customHeight="1">
      <c r="A10" s="9" t="s">
        <v>6</v>
      </c>
      <c r="B10" s="24">
        <f>D10+F10</f>
        <v>1552816000</v>
      </c>
      <c r="C10" s="31"/>
      <c r="D10" s="36">
        <v>1263496000</v>
      </c>
      <c r="E10" s="31"/>
      <c r="F10" s="36">
        <v>289320000</v>
      </c>
      <c r="G10" s="24">
        <f>I10+K10</f>
        <v>1556388000</v>
      </c>
      <c r="H10" s="31"/>
      <c r="I10" s="36">
        <f>1263496000+10935000-5150000</f>
        <v>1269281000</v>
      </c>
      <c r="J10" s="24"/>
      <c r="K10" s="36">
        <f>289320000+3000000-5213000</f>
        <v>287107000</v>
      </c>
    </row>
    <row r="11" spans="1:11" ht="20.15" customHeight="1">
      <c r="A11" s="9" t="s">
        <v>7</v>
      </c>
      <c r="B11" s="24">
        <f>D11+F11</f>
        <v>987668000</v>
      </c>
      <c r="C11" s="31"/>
      <c r="D11" s="36">
        <v>973218000</v>
      </c>
      <c r="E11" s="31"/>
      <c r="F11" s="36">
        <v>14450000</v>
      </c>
      <c r="G11" s="24">
        <f>I11+K11</f>
        <v>973468000</v>
      </c>
      <c r="H11" s="31"/>
      <c r="I11" s="36">
        <f>973218000-200000</f>
        <v>973018000</v>
      </c>
      <c r="J11" s="24"/>
      <c r="K11" s="36">
        <f>14450000-14000000</f>
        <v>450000</v>
      </c>
    </row>
    <row r="12" spans="1:11" ht="20.15" customHeight="1">
      <c r="A12" s="9" t="s">
        <v>8</v>
      </c>
      <c r="B12" s="24">
        <f>D12+F12</f>
        <v>55348604000</v>
      </c>
      <c r="C12" s="24"/>
      <c r="D12" s="36">
        <v>49617620000</v>
      </c>
      <c r="E12" s="24"/>
      <c r="F12" s="36">
        <v>5730984000</v>
      </c>
      <c r="G12" s="24">
        <f>I12+K12</f>
        <v>55722795000</v>
      </c>
      <c r="H12" s="24"/>
      <c r="I12" s="36">
        <f>49617620000+17354000-2840000</f>
        <v>49632134000</v>
      </c>
      <c r="J12" s="24"/>
      <c r="K12" s="36">
        <f>5730984000+359677000</f>
        <v>6090661000</v>
      </c>
    </row>
    <row r="13" spans="1:11" ht="20.15" customHeight="1">
      <c r="A13" s="9" t="s">
        <v>9</v>
      </c>
      <c r="B13" s="24">
        <f>D13+F13</f>
        <v>773439000</v>
      </c>
      <c r="C13" s="24"/>
      <c r="D13" s="36">
        <v>639259000</v>
      </c>
      <c r="E13" s="24"/>
      <c r="F13" s="36">
        <v>134180000</v>
      </c>
      <c r="G13" s="24">
        <f>I13+K13</f>
        <v>1356425000</v>
      </c>
      <c r="H13" s="24"/>
      <c r="I13" s="36">
        <f>639259000+478231000-2850000</f>
        <v>1114640000</v>
      </c>
      <c r="J13" s="24"/>
      <c r="K13" s="36">
        <f>134180000+107605000</f>
        <v>241785000</v>
      </c>
    </row>
    <row r="14" spans="1:11" ht="20.15" customHeight="1">
      <c r="A14" s="9" t="s">
        <v>10</v>
      </c>
      <c r="B14" s="24">
        <f>D14+F14</f>
        <v>9291255000</v>
      </c>
      <c r="C14" s="24"/>
      <c r="D14" s="36">
        <v>1567553000</v>
      </c>
      <c r="E14" s="24"/>
      <c r="F14" s="36">
        <v>7723702000</v>
      </c>
      <c r="G14" s="24">
        <f>I14+K14</f>
        <v>11182083000</v>
      </c>
      <c r="H14" s="24"/>
      <c r="I14" s="36">
        <f>1567553000+1980000-600000</f>
        <v>1568933000</v>
      </c>
      <c r="J14" s="24"/>
      <c r="K14" s="36">
        <f>7723702000+1889448000</f>
        <v>9613150000</v>
      </c>
    </row>
    <row r="15" spans="1:11" ht="20.15" customHeight="1">
      <c r="A15" s="9" t="s">
        <v>11</v>
      </c>
      <c r="B15" s="24">
        <f>D15+F15</f>
        <v>6179063000</v>
      </c>
      <c r="C15" s="24"/>
      <c r="D15" s="36">
        <v>3522231000</v>
      </c>
      <c r="E15" s="24"/>
      <c r="F15" s="36">
        <v>2656832000</v>
      </c>
      <c r="G15" s="24">
        <f>I15+K15</f>
        <v>7911467000</v>
      </c>
      <c r="H15" s="24"/>
      <c r="I15" s="36">
        <f>3522231000+402634000-305130000</f>
        <v>3619735000</v>
      </c>
      <c r="J15" s="24"/>
      <c r="K15" s="36">
        <f>2656832000+1634900000</f>
        <v>4291732000</v>
      </c>
    </row>
    <row r="16" spans="1:11" ht="20.15" customHeight="1">
      <c r="A16" s="9" t="s">
        <v>12</v>
      </c>
      <c r="B16" s="24">
        <f>D16+F16</f>
        <v>1400397000</v>
      </c>
      <c r="C16" s="24"/>
      <c r="D16" s="36">
        <v>1286550000</v>
      </c>
      <c r="E16" s="24"/>
      <c r="F16" s="36">
        <v>113847000</v>
      </c>
      <c r="G16" s="24">
        <f>I16+K16</f>
        <v>1736375000</v>
      </c>
      <c r="H16" s="24"/>
      <c r="I16" s="36">
        <f>1286550000+295264000-200000</f>
        <v>1581614000</v>
      </c>
      <c r="J16" s="24"/>
      <c r="K16" s="36">
        <f>113847000+57574000-16660000</f>
        <v>154761000</v>
      </c>
    </row>
    <row r="17" spans="1:11" ht="20.15" customHeight="1">
      <c r="A17" s="9" t="s">
        <v>13</v>
      </c>
      <c r="B17" s="24">
        <f>D17+F17</f>
        <v>2312533000</v>
      </c>
      <c r="C17" s="31"/>
      <c r="D17" s="36">
        <v>2196443000</v>
      </c>
      <c r="E17" s="31"/>
      <c r="F17" s="36">
        <v>116090000</v>
      </c>
      <c r="G17" s="24">
        <f>I17+K17</f>
        <v>2397276000</v>
      </c>
      <c r="H17" s="31"/>
      <c r="I17" s="36">
        <f>2196443000+71789000-22102000</f>
        <v>2246130000</v>
      </c>
      <c r="J17" s="31"/>
      <c r="K17" s="36">
        <f>116090000+41238000-6182000</f>
        <v>151146000</v>
      </c>
    </row>
    <row r="18" spans="1:11" ht="20.15" customHeight="1">
      <c r="A18" s="9" t="s">
        <v>14</v>
      </c>
      <c r="B18" s="24">
        <f>D18+F18</f>
        <v>546990000</v>
      </c>
      <c r="C18" s="24"/>
      <c r="D18" s="36">
        <v>318766000</v>
      </c>
      <c r="E18" s="24"/>
      <c r="F18" s="36">
        <v>228224000</v>
      </c>
      <c r="G18" s="24">
        <f>I18+K18</f>
        <v>568116000</v>
      </c>
      <c r="H18" s="24"/>
      <c r="I18" s="36">
        <f>318766000+59530000-65804000</f>
        <v>312492000</v>
      </c>
      <c r="J18" s="24"/>
      <c r="K18" s="36">
        <f>228224000+27400000</f>
        <v>255624000</v>
      </c>
    </row>
    <row r="19" spans="1:11" ht="20.15" customHeight="1">
      <c r="A19" s="9" t="s">
        <v>15</v>
      </c>
      <c r="B19" s="24">
        <f>D19+F19</f>
        <v>16219682000</v>
      </c>
      <c r="C19" s="24"/>
      <c r="D19" s="36">
        <v>16066992000</v>
      </c>
      <c r="E19" s="24"/>
      <c r="F19" s="36">
        <v>152690000</v>
      </c>
      <c r="G19" s="24">
        <f>I19+K19</f>
        <v>16396851000</v>
      </c>
      <c r="H19" s="24"/>
      <c r="I19" s="36">
        <f>16066992000+136496000-9192000</f>
        <v>16194296000</v>
      </c>
      <c r="J19" s="24"/>
      <c r="K19" s="36">
        <f>152690000+50799000-934000</f>
        <v>202555000</v>
      </c>
    </row>
    <row r="20" spans="1:11" ht="20.15" customHeight="1">
      <c r="A20" s="9" t="s">
        <v>16</v>
      </c>
      <c r="B20" s="24">
        <f>D20+F20</f>
        <v>449189000</v>
      </c>
      <c r="C20" s="24"/>
      <c r="D20" s="36">
        <v>446211000</v>
      </c>
      <c r="E20" s="24"/>
      <c r="F20" s="36">
        <v>2978000</v>
      </c>
      <c r="G20" s="24">
        <f>I20+K20</f>
        <v>447453000</v>
      </c>
      <c r="H20" s="24"/>
      <c r="I20" s="36">
        <f>446211000+919000-3655000</f>
        <v>443475000</v>
      </c>
      <c r="J20" s="24"/>
      <c r="K20" s="36">
        <f>2978000+1000000</f>
        <v>3978000</v>
      </c>
    </row>
    <row r="21" spans="1:11" ht="20.15" customHeight="1">
      <c r="A21" s="9" t="s">
        <v>17</v>
      </c>
      <c r="B21" s="24">
        <f>D21+F21</f>
        <v>10481150000</v>
      </c>
      <c r="C21" s="24"/>
      <c r="D21" s="36">
        <v>10277985000</v>
      </c>
      <c r="E21" s="24"/>
      <c r="F21" s="36">
        <v>203165000</v>
      </c>
      <c r="G21" s="24">
        <f>I21+K21</f>
        <v>10651587000</v>
      </c>
      <c r="H21" s="24"/>
      <c r="I21" s="36">
        <f>10277985000+19328000-100000</f>
        <v>10297213000</v>
      </c>
      <c r="J21" s="24"/>
      <c r="K21" s="36">
        <f>203165000+151209000</f>
        <v>354374000</v>
      </c>
    </row>
    <row r="22" spans="1:11" ht="20.15" customHeight="1">
      <c r="A22" s="9" t="s">
        <v>18</v>
      </c>
      <c r="B22" s="24">
        <f>D22+F22</f>
        <v>2674901000</v>
      </c>
      <c r="C22" s="24"/>
      <c r="D22" s="36">
        <v>2453137000</v>
      </c>
      <c r="E22" s="24"/>
      <c r="F22" s="36">
        <v>221764000</v>
      </c>
      <c r="G22" s="24">
        <f>I22+K22</f>
        <v>2685253000</v>
      </c>
      <c r="H22" s="24"/>
      <c r="I22" s="36">
        <f>2453137000-820000</f>
        <v>2452317000</v>
      </c>
      <c r="J22" s="24"/>
      <c r="K22" s="36">
        <f>221764000+12160000-988000</f>
        <v>232936000</v>
      </c>
    </row>
    <row r="23" spans="1:11" ht="20.15" customHeight="1">
      <c r="A23" s="9" t="s">
        <v>19</v>
      </c>
      <c r="B23" s="24">
        <f>D23+F23</f>
        <v>6307034000</v>
      </c>
      <c r="C23" s="31"/>
      <c r="D23" s="36">
        <v>6149062000</v>
      </c>
      <c r="E23" s="31"/>
      <c r="F23" s="36">
        <v>157972000</v>
      </c>
      <c r="G23" s="24">
        <f>I23+K23</f>
        <v>7548342000</v>
      </c>
      <c r="H23" s="31"/>
      <c r="I23" s="36">
        <f>6149062000+1327012000-88764000</f>
        <v>7387310000</v>
      </c>
      <c r="J23" s="31"/>
      <c r="K23" s="36">
        <f>157972000+20801000-17741000</f>
        <v>161032000</v>
      </c>
    </row>
    <row r="24" spans="1:11" ht="20.15" customHeight="1">
      <c r="A24" s="9" t="s">
        <v>20</v>
      </c>
      <c r="B24" s="24">
        <f>D24+F24</f>
        <v>5690888000</v>
      </c>
      <c r="C24" s="31"/>
      <c r="D24" s="36">
        <v>5295324000</v>
      </c>
      <c r="E24" s="31"/>
      <c r="F24" s="36">
        <v>395564000</v>
      </c>
      <c r="G24" s="24">
        <f>I24+K24</f>
        <v>5737536000</v>
      </c>
      <c r="H24" s="31"/>
      <c r="I24" s="36">
        <f>5295324000+21222000-200000</f>
        <v>5316346000</v>
      </c>
      <c r="J24" s="31"/>
      <c r="K24" s="36">
        <f>395564000+25626000</f>
        <v>421190000</v>
      </c>
    </row>
    <row r="25" spans="1:11" ht="20.15" customHeight="1">
      <c r="A25" s="9" t="s">
        <v>21</v>
      </c>
      <c r="B25" s="24">
        <f>D25+F25</f>
        <v>1285925000</v>
      </c>
      <c r="C25" s="31"/>
      <c r="D25" s="36">
        <v>1022012000</v>
      </c>
      <c r="E25" s="31"/>
      <c r="F25" s="36">
        <v>263913000</v>
      </c>
      <c r="G25" s="24">
        <f>I25+K25</f>
        <v>1475741000</v>
      </c>
      <c r="H25" s="31"/>
      <c r="I25" s="36">
        <f>1022012000+32538000-11327000</f>
        <v>1043223000</v>
      </c>
      <c r="J25" s="31"/>
      <c r="K25" s="36">
        <f>263913000+169265000-660000</f>
        <v>432518000</v>
      </c>
    </row>
    <row r="26" spans="1:11" ht="20.15" customHeight="1">
      <c r="A26" s="9" t="s">
        <v>22</v>
      </c>
      <c r="B26" s="24">
        <f>D26+F26</f>
        <v>1312302000</v>
      </c>
      <c r="C26" s="24"/>
      <c r="D26" s="36">
        <v>1167936000</v>
      </c>
      <c r="E26" s="24"/>
      <c r="F26" s="36">
        <v>144366000</v>
      </c>
      <c r="G26" s="24">
        <f>I26+K26</f>
        <v>1311692000</v>
      </c>
      <c r="H26" s="24"/>
      <c r="I26" s="36">
        <f>1167936000-610000</f>
        <v>1167326000</v>
      </c>
      <c r="J26" s="24"/>
      <c r="K26" s="36">
        <v>144366000</v>
      </c>
    </row>
    <row r="27" spans="1:11" ht="20.15" customHeight="1">
      <c r="A27" s="9" t="s">
        <v>23</v>
      </c>
      <c r="B27" s="24">
        <f>D27+F27</f>
        <v>160077000</v>
      </c>
      <c r="C27" s="24"/>
      <c r="D27" s="36">
        <v>159627000</v>
      </c>
      <c r="E27" s="24"/>
      <c r="F27" s="36">
        <v>450000</v>
      </c>
      <c r="G27" s="24">
        <f>I27+K27</f>
        <v>160077000</v>
      </c>
      <c r="H27" s="24"/>
      <c r="I27" s="36">
        <v>159627000</v>
      </c>
      <c r="J27" s="24"/>
      <c r="K27" s="36">
        <v>450000</v>
      </c>
    </row>
    <row r="28" spans="1:11" ht="20.15" customHeight="1">
      <c r="A28" s="9" t="s">
        <v>24</v>
      </c>
      <c r="B28" s="24">
        <f>D28+F28</f>
        <v>279053000</v>
      </c>
      <c r="C28" s="24"/>
      <c r="D28" s="36">
        <v>278503000</v>
      </c>
      <c r="E28" s="24"/>
      <c r="F28" s="36">
        <v>550000</v>
      </c>
      <c r="G28" s="24">
        <f>I28+K28</f>
        <v>723685000</v>
      </c>
      <c r="H28" s="24"/>
      <c r="I28" s="36">
        <f>278503000+3315000-3683000</f>
        <v>278135000</v>
      </c>
      <c r="J28" s="24"/>
      <c r="K28" s="36">
        <f>550000+445000000</f>
        <v>445550000</v>
      </c>
    </row>
    <row r="29" spans="1:11" ht="20.15" customHeight="1">
      <c r="A29" s="9" t="s">
        <v>25</v>
      </c>
      <c r="B29" s="24">
        <f>D29+F29</f>
        <v>852294000</v>
      </c>
      <c r="C29" s="31"/>
      <c r="D29" s="36">
        <v>841187000</v>
      </c>
      <c r="E29" s="31"/>
      <c r="F29" s="36">
        <v>11107000</v>
      </c>
      <c r="G29" s="24">
        <f>I29+K29</f>
        <v>852094000</v>
      </c>
      <c r="H29" s="31"/>
      <c r="I29" s="36">
        <f>841187000-200000</f>
        <v>840987000</v>
      </c>
      <c r="J29" s="31"/>
      <c r="K29" s="36">
        <v>11107000</v>
      </c>
    </row>
    <row r="30" spans="1:11" ht="20.15" customHeight="1">
      <c r="A30" s="9" t="s">
        <v>26</v>
      </c>
      <c r="B30" s="24">
        <f>D30+F30</f>
        <v>2833036000</v>
      </c>
      <c r="C30" s="31"/>
      <c r="D30" s="36">
        <v>679347000</v>
      </c>
      <c r="E30" s="31"/>
      <c r="F30" s="36">
        <v>2153689000</v>
      </c>
      <c r="G30" s="24">
        <f>I30+K30</f>
        <v>3449686000</v>
      </c>
      <c r="H30" s="31"/>
      <c r="I30" s="36">
        <f>679347000+37813000-200000</f>
        <v>716960000</v>
      </c>
      <c r="J30" s="31"/>
      <c r="K30" s="36">
        <f>2153689000+579037000</f>
        <v>2732726000</v>
      </c>
    </row>
    <row r="31" spans="1:11" ht="20.15" customHeight="1">
      <c r="A31" s="9" t="s">
        <v>27</v>
      </c>
      <c r="B31" s="24">
        <f>D31+F31</f>
        <v>1198331000</v>
      </c>
      <c r="C31" s="32"/>
      <c r="D31" s="36">
        <v>474392000</v>
      </c>
      <c r="E31" s="32"/>
      <c r="F31" s="36">
        <v>723939000</v>
      </c>
      <c r="G31" s="24">
        <f>I31+K31</f>
        <v>1525672000</v>
      </c>
      <c r="H31" s="32"/>
      <c r="I31" s="36">
        <f>474392000+1862000-9771000</f>
        <v>466483000</v>
      </c>
      <c r="J31" s="32"/>
      <c r="K31" s="36">
        <f>723939000+335250000</f>
        <v>1059189000</v>
      </c>
    </row>
    <row r="32" spans="1:11" ht="20.15" customHeight="1">
      <c r="A32" s="9" t="s">
        <v>28</v>
      </c>
      <c r="B32" s="24">
        <f>D32+F32</f>
        <v>5324757000</v>
      </c>
      <c r="C32" s="24"/>
      <c r="D32" s="36">
        <v>4034757000</v>
      </c>
      <c r="E32" s="24"/>
      <c r="F32" s="36">
        <v>1290000000</v>
      </c>
      <c r="G32" s="24">
        <f>I32+K32</f>
        <v>5324757000</v>
      </c>
      <c r="H32" s="24"/>
      <c r="I32" s="36">
        <v>4034757000</v>
      </c>
      <c r="J32" s="24"/>
      <c r="K32" s="36">
        <v>1290000000</v>
      </c>
    </row>
    <row r="33" spans="1:11" ht="20.15" customHeight="1">
      <c r="A33" s="9" t="s">
        <v>29</v>
      </c>
      <c r="B33" s="24">
        <f>D33+F33</f>
        <v>500000000</v>
      </c>
      <c r="C33" s="33"/>
      <c r="D33" s="36">
        <v>300000000</v>
      </c>
      <c r="E33" s="33"/>
      <c r="F33" s="36">
        <v>200000000</v>
      </c>
      <c r="G33" s="24">
        <f>I33+K33</f>
        <v>500000000</v>
      </c>
      <c r="H33" s="33"/>
      <c r="I33" s="36">
        <v>300000000</v>
      </c>
      <c r="J33" s="33"/>
      <c r="K33" s="36">
        <v>200000000</v>
      </c>
    </row>
    <row r="34" spans="1:11" ht="20.15" customHeight="1">
      <c r="A34" s="11"/>
      <c r="B34" s="25"/>
      <c r="C34" s="25"/>
      <c r="D34" s="37"/>
      <c r="E34" s="25"/>
      <c r="F34" s="37"/>
      <c r="G34" s="25">
        <f>I34+K34</f>
        <v>0</v>
      </c>
      <c r="H34" s="25"/>
      <c r="I34" s="25"/>
      <c r="J34" s="25"/>
      <c r="K34" s="25"/>
    </row>
    <row r="35" spans="1:11" ht="20.15" customHeight="1">
      <c r="A35" s="12"/>
      <c r="B35" s="26"/>
      <c r="C35" s="26"/>
      <c r="D35" s="38"/>
      <c r="E35" s="26"/>
      <c r="F35" s="41"/>
      <c r="G35" s="26"/>
      <c r="H35" s="48"/>
      <c r="I35" s="52" t="s">
        <v>44</v>
      </c>
      <c r="J35" s="52"/>
      <c r="K35" s="60"/>
    </row>
    <row r="36" spans="1:11" ht="20.15" customHeight="1">
      <c r="A36" s="12"/>
      <c r="B36" s="26"/>
      <c r="C36" s="26"/>
      <c r="D36" s="26"/>
      <c r="E36" s="26"/>
      <c r="F36" s="26"/>
      <c r="G36" s="26"/>
      <c r="H36" s="48"/>
      <c r="I36" s="53"/>
      <c r="J36" s="53"/>
      <c r="K36" s="61"/>
    </row>
    <row r="37" spans="1:11" ht="20.15" customHeight="1">
      <c r="A37" s="12"/>
      <c r="B37" s="26"/>
      <c r="C37" s="26"/>
      <c r="D37" s="26"/>
      <c r="E37" s="26"/>
      <c r="F37" s="26"/>
      <c r="G37" s="26"/>
      <c r="H37" s="48"/>
      <c r="I37" s="53"/>
      <c r="J37" s="53"/>
      <c r="K37" s="61"/>
    </row>
    <row r="38" spans="1:11" ht="20.15" customHeight="1">
      <c r="A38" s="13" t="s">
        <v>30</v>
      </c>
      <c r="B38" s="27"/>
      <c r="C38" s="13" t="s">
        <v>38</v>
      </c>
      <c r="D38" s="13"/>
      <c r="E38" s="14"/>
      <c r="F38" s="42" t="s">
        <v>41</v>
      </c>
      <c r="G38" s="46"/>
      <c r="H38" s="48"/>
      <c r="I38" s="13" t="s">
        <v>45</v>
      </c>
      <c r="J38" s="13"/>
      <c r="K38" s="27"/>
    </row>
    <row r="39" spans="1:11" ht="20.15" customHeight="1">
      <c r="A39" s="13"/>
      <c r="B39" s="27"/>
      <c r="C39" s="13"/>
      <c r="D39" s="14"/>
      <c r="E39" s="14"/>
      <c r="F39" s="42" t="s">
        <v>42</v>
      </c>
      <c r="G39" s="43"/>
      <c r="H39" s="48"/>
      <c r="I39" s="13"/>
      <c r="J39" s="14"/>
      <c r="K39" s="27"/>
    </row>
    <row r="40" spans="1:11" ht="16.5" customHeight="1">
      <c r="A40" s="14"/>
      <c r="B40" s="27"/>
      <c r="C40" s="14"/>
      <c r="D40" s="14"/>
      <c r="E40" s="14"/>
      <c r="F40" s="43"/>
      <c r="G40" s="43"/>
      <c r="H40" s="48"/>
      <c r="I40" s="14"/>
      <c r="J40" s="14"/>
      <c r="K40" s="27"/>
    </row>
    <row r="41" spans="1:11" ht="20.15" customHeight="1">
      <c r="A41" s="14"/>
      <c r="B41" s="27"/>
      <c r="C41" s="14"/>
      <c r="D41" s="14"/>
      <c r="E41" s="14"/>
      <c r="F41" s="43"/>
      <c r="G41" s="43"/>
      <c r="H41" s="48"/>
      <c r="I41" s="14"/>
      <c r="J41" s="14"/>
      <c r="K41" s="27"/>
    </row>
    <row r="42" spans="1:11" ht="20.15" customHeight="1">
      <c r="A42" s="15" t="s">
        <v>31</v>
      </c>
      <c r="B42" s="28"/>
      <c r="C42" s="28"/>
      <c r="D42" s="28"/>
      <c r="E42" s="28"/>
      <c r="F42" s="28"/>
      <c r="G42" s="28"/>
      <c r="H42" s="49"/>
      <c r="I42" s="54"/>
      <c r="J42" s="54"/>
      <c r="K42" s="54"/>
    </row>
    <row r="43" spans="1:11" ht="41" customHeight="1">
      <c r="A43" s="16" t="s">
        <v>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">
      <c r="A44" s="17"/>
      <c r="B44" s="28"/>
      <c r="C44" s="28"/>
      <c r="D44" s="28"/>
      <c r="E44" s="28"/>
      <c r="F44" s="28"/>
      <c r="G44" s="28"/>
      <c r="H44" s="49"/>
      <c r="I44" s="28"/>
      <c r="J44" s="28"/>
      <c r="K44" s="28"/>
    </row>
    <row r="45" ht="15">
      <c r="A45" s="18"/>
    </row>
    <row r="46" ht="15">
      <c r="A46" s="18"/>
    </row>
    <row r="47" ht="15">
      <c r="A47" s="18"/>
    </row>
    <row r="48" ht="15">
      <c r="A48" s="18"/>
    </row>
    <row r="49" ht="15">
      <c r="A49" s="18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56" ht="15">
      <c r="A56" s="18"/>
    </row>
    <row r="57" ht="15">
      <c r="A57" s="18"/>
    </row>
    <row r="58" ht="15">
      <c r="A58" s="18"/>
    </row>
    <row r="59" ht="15">
      <c r="A59" s="18"/>
    </row>
    <row r="60" ht="15">
      <c r="A60" s="18"/>
    </row>
    <row r="61" ht="15">
      <c r="A61" s="18"/>
    </row>
    <row r="62" ht="15">
      <c r="A62" s="18"/>
    </row>
    <row r="63" ht="15">
      <c r="A63" s="18"/>
    </row>
    <row r="64" ht="15">
      <c r="A64" s="18"/>
    </row>
    <row r="65" ht="15">
      <c r="A65" s="18"/>
    </row>
    <row r="66" ht="15">
      <c r="A66" s="18"/>
    </row>
    <row r="67" ht="15">
      <c r="A67" s="18"/>
    </row>
    <row r="68" ht="15">
      <c r="A68" s="18"/>
    </row>
    <row r="69" ht="15">
      <c r="A69" s="18"/>
    </row>
    <row r="70" ht="15">
      <c r="A70" s="18"/>
    </row>
    <row r="71" ht="15">
      <c r="A71" s="18"/>
    </row>
    <row r="72" ht="15">
      <c r="A72" s="18"/>
    </row>
    <row r="73" ht="15">
      <c r="A73" s="18"/>
    </row>
    <row r="74" ht="15">
      <c r="A74" s="18"/>
    </row>
    <row r="75" ht="15">
      <c r="A75" s="18"/>
    </row>
    <row r="76" ht="15">
      <c r="A76" s="18"/>
    </row>
    <row r="77" ht="15">
      <c r="A77" s="18"/>
    </row>
    <row r="78" ht="15">
      <c r="A78" s="18"/>
    </row>
    <row r="79" ht="15">
      <c r="A79" s="18"/>
    </row>
    <row r="80" ht="15">
      <c r="A80" s="18"/>
    </row>
    <row r="81" ht="15">
      <c r="A81" s="18"/>
    </row>
    <row r="82" ht="15">
      <c r="A82" s="18"/>
    </row>
    <row r="83" ht="15">
      <c r="A83" s="18"/>
    </row>
    <row r="84" ht="15">
      <c r="A84" s="18"/>
    </row>
    <row r="85" ht="15">
      <c r="A85" s="18"/>
    </row>
    <row r="86" ht="15">
      <c r="A86" s="18"/>
    </row>
    <row r="87" ht="15">
      <c r="A87" s="18"/>
    </row>
    <row r="88" ht="15">
      <c r="A88" s="18"/>
    </row>
    <row r="89" ht="15">
      <c r="A89" s="18"/>
    </row>
    <row r="90" ht="15">
      <c r="A90" s="18"/>
    </row>
    <row r="91" ht="15">
      <c r="A91" s="18"/>
    </row>
    <row r="92" ht="15">
      <c r="A92" s="18"/>
    </row>
    <row r="93" ht="15">
      <c r="A93" s="18"/>
    </row>
    <row r="94" ht="15">
      <c r="A94" s="18"/>
    </row>
    <row r="95" ht="15">
      <c r="A95" s="18"/>
    </row>
    <row r="96" ht="15">
      <c r="A96" s="18"/>
    </row>
    <row r="97" ht="15">
      <c r="A97" s="18"/>
    </row>
    <row r="98" ht="15">
      <c r="A98" s="18"/>
    </row>
  </sheetData>
  <mergeCells count="15">
    <mergeCell ref="A38:A39"/>
    <mergeCell ref="E38:E39"/>
    <mergeCell ref="C38:C39"/>
    <mergeCell ref="J6:K6"/>
    <mergeCell ref="I35:K35"/>
    <mergeCell ref="I38:I39"/>
    <mergeCell ref="A43:K43"/>
    <mergeCell ref="G2:I2"/>
    <mergeCell ref="G5:K5"/>
    <mergeCell ref="B4:J4"/>
    <mergeCell ref="A5:A6"/>
    <mergeCell ref="C6:D6"/>
    <mergeCell ref="E6:F6"/>
    <mergeCell ref="B5:F5"/>
    <mergeCell ref="H6:I6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