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\\192.168.145.240\共用檔案\22-0.系統抽換報表留底區\劭瑾\養護工程處\1090306\"/>
    </mc:Choice>
  </mc:AlternateContent>
  <xr:revisionPtr revIDLastSave="0" documentId="13_ncr:1_{4B947AB2-7C8F-49E0-B27D-2F70B344D4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臺中市路燈設備" sheetId="1" r:id="rId1"/>
  </sheets>
  <definedNames>
    <definedName name="_xlnm.Print_Area" localSheetId="0">臺中市路燈設備!$A$1:$K$42</definedName>
    <definedName name="月份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J35" i="1"/>
  <c r="I35" i="1"/>
  <c r="H35" i="1"/>
  <c r="F35" i="1"/>
  <c r="E35" i="1"/>
  <c r="D35" i="1"/>
  <c r="B35" i="1"/>
  <c r="J34" i="1"/>
  <c r="I34" i="1"/>
  <c r="H34" i="1"/>
  <c r="E34" i="1"/>
  <c r="D34" i="1"/>
  <c r="J33" i="1"/>
  <c r="I33" i="1"/>
  <c r="H33" i="1"/>
  <c r="E33" i="1"/>
  <c r="D33" i="1"/>
  <c r="J32" i="1"/>
  <c r="I32" i="1"/>
  <c r="H32" i="1"/>
  <c r="E32" i="1"/>
  <c r="D32" i="1"/>
  <c r="J31" i="1"/>
  <c r="I31" i="1"/>
  <c r="H31" i="1"/>
  <c r="E31" i="1"/>
  <c r="D31" i="1"/>
  <c r="B31" i="1"/>
  <c r="J30" i="1"/>
  <c r="H30" i="1"/>
  <c r="E30" i="1"/>
  <c r="D30" i="1"/>
  <c r="B30" i="1"/>
  <c r="J29" i="1"/>
  <c r="I29" i="1"/>
  <c r="H29" i="1"/>
  <c r="G29" i="1"/>
  <c r="E29" i="1"/>
  <c r="D29" i="1"/>
  <c r="J28" i="1"/>
  <c r="I28" i="1"/>
  <c r="H28" i="1"/>
  <c r="D28" i="1"/>
  <c r="B28" i="1"/>
  <c r="J27" i="1"/>
  <c r="I27" i="1"/>
  <c r="H27" i="1"/>
  <c r="G27" i="1"/>
  <c r="E27" i="1"/>
  <c r="D27" i="1"/>
  <c r="J26" i="1"/>
  <c r="I26" i="1"/>
  <c r="H26" i="1"/>
  <c r="E26" i="1"/>
  <c r="D26" i="1"/>
  <c r="J25" i="1"/>
  <c r="I25" i="1"/>
  <c r="H25" i="1"/>
  <c r="G25" i="1"/>
  <c r="E25" i="1"/>
  <c r="D25" i="1"/>
  <c r="B25" i="1"/>
  <c r="J24" i="1"/>
  <c r="H24" i="1"/>
  <c r="E24" i="1"/>
  <c r="D24" i="1"/>
  <c r="J23" i="1"/>
  <c r="I23" i="1"/>
  <c r="H23" i="1"/>
  <c r="G23" i="1"/>
  <c r="E23" i="1"/>
  <c r="D23" i="1"/>
  <c r="B23" i="1"/>
  <c r="J22" i="1"/>
  <c r="I22" i="1"/>
  <c r="H22" i="1"/>
  <c r="E22" i="1"/>
  <c r="D22" i="1"/>
  <c r="B22" i="1"/>
  <c r="J21" i="1"/>
  <c r="I21" i="1"/>
  <c r="H21" i="1"/>
  <c r="E21" i="1"/>
  <c r="D21" i="1"/>
  <c r="J20" i="1"/>
  <c r="I20" i="1"/>
  <c r="H20" i="1"/>
  <c r="F20" i="1"/>
  <c r="E20" i="1"/>
  <c r="D20" i="1"/>
  <c r="J19" i="1"/>
  <c r="I19" i="1"/>
  <c r="H19" i="1"/>
  <c r="G19" i="1"/>
  <c r="D19" i="1"/>
  <c r="B19" i="1"/>
  <c r="J18" i="1"/>
  <c r="I18" i="1"/>
  <c r="H18" i="1"/>
  <c r="F18" i="1"/>
  <c r="E18" i="1"/>
  <c r="D18" i="1"/>
  <c r="J17" i="1"/>
  <c r="I17" i="1"/>
  <c r="H17" i="1"/>
  <c r="G17" i="1"/>
  <c r="F17" i="1"/>
  <c r="E17" i="1"/>
  <c r="D17" i="1"/>
  <c r="J16" i="1"/>
  <c r="I16" i="1"/>
  <c r="H16" i="1"/>
  <c r="G16" i="1"/>
  <c r="G7" i="1" s="1"/>
  <c r="F16" i="1"/>
  <c r="F7" i="1" s="1"/>
  <c r="E16" i="1"/>
  <c r="D16" i="1"/>
  <c r="B16" i="1"/>
  <c r="J15" i="1"/>
  <c r="I15" i="1"/>
  <c r="H15" i="1"/>
  <c r="G15" i="1"/>
  <c r="E15" i="1"/>
  <c r="D15" i="1"/>
  <c r="J14" i="1"/>
  <c r="I14" i="1"/>
  <c r="I7" i="1" s="1"/>
  <c r="H14" i="1"/>
  <c r="H7" i="1" s="1"/>
  <c r="G14" i="1"/>
  <c r="E14" i="1"/>
  <c r="D14" i="1"/>
  <c r="B14" i="1"/>
  <c r="J13" i="1"/>
  <c r="I13" i="1"/>
  <c r="H13" i="1"/>
  <c r="G13" i="1"/>
  <c r="E13" i="1"/>
  <c r="D13" i="1"/>
  <c r="B13" i="1"/>
  <c r="J12" i="1"/>
  <c r="I12" i="1"/>
  <c r="H12" i="1"/>
  <c r="E12" i="1"/>
  <c r="D12" i="1"/>
  <c r="B12" i="1"/>
  <c r="J11" i="1"/>
  <c r="I11" i="1"/>
  <c r="H11" i="1"/>
  <c r="E11" i="1"/>
  <c r="D11" i="1"/>
  <c r="B11" i="1"/>
  <c r="J10" i="1"/>
  <c r="J7" i="1" s="1"/>
  <c r="I10" i="1"/>
  <c r="H10" i="1"/>
  <c r="E10" i="1"/>
  <c r="D10" i="1"/>
  <c r="B10" i="1"/>
  <c r="J9" i="1"/>
  <c r="I9" i="1"/>
  <c r="H9" i="1"/>
  <c r="G9" i="1"/>
  <c r="E9" i="1"/>
  <c r="D9" i="1"/>
  <c r="D7" i="1" s="1"/>
  <c r="B9" i="1"/>
  <c r="J8" i="1"/>
  <c r="I8" i="1"/>
  <c r="H8" i="1"/>
  <c r="E8" i="1"/>
  <c r="D8" i="1"/>
  <c r="B8" i="1"/>
  <c r="B7" i="1" s="1"/>
  <c r="E7" i="1"/>
  <c r="C7" i="1"/>
</calcChain>
</file>

<file path=xl/sharedStrings.xml><?xml version="1.0" encoding="utf-8"?>
<sst xmlns="http://schemas.openxmlformats.org/spreadsheetml/2006/main" count="62" uniqueCount="62">
  <si>
    <t>公開類</t>
  </si>
  <si>
    <t>年  報</t>
  </si>
  <si>
    <t>臺中市路燈設備</t>
  </si>
  <si>
    <t xml:space="preserve">                  中華民國108年底</t>
  </si>
  <si>
    <t>區別</t>
  </si>
  <si>
    <t>總計</t>
  </si>
  <si>
    <t>中區</t>
  </si>
  <si>
    <t>西區</t>
  </si>
  <si>
    <t>北區</t>
  </si>
  <si>
    <t>東區</t>
  </si>
  <si>
    <t>南區</t>
  </si>
  <si>
    <t>北屯區</t>
  </si>
  <si>
    <t>西屯區</t>
  </si>
  <si>
    <t>南屯區</t>
  </si>
  <si>
    <t>豐原區</t>
  </si>
  <si>
    <t>后里區</t>
  </si>
  <si>
    <t>潭子區</t>
  </si>
  <si>
    <t>神岡區</t>
  </si>
  <si>
    <t>大雅區</t>
  </si>
  <si>
    <t>新社區</t>
  </si>
  <si>
    <t>石岡區</t>
  </si>
  <si>
    <t>東勢區</t>
  </si>
  <si>
    <t>和平區</t>
  </si>
  <si>
    <t>清水區</t>
  </si>
  <si>
    <t>梧棲區</t>
  </si>
  <si>
    <t>沙鹿區</t>
  </si>
  <si>
    <t>大安區</t>
  </si>
  <si>
    <t>大甲區</t>
  </si>
  <si>
    <t>外埔區</t>
  </si>
  <si>
    <t>大里區</t>
  </si>
  <si>
    <t>太平區</t>
  </si>
  <si>
    <t>霧峰區</t>
  </si>
  <si>
    <t>大肚區</t>
  </si>
  <si>
    <t>龍井區</t>
  </si>
  <si>
    <t>烏日區</t>
  </si>
  <si>
    <t>填表</t>
  </si>
  <si>
    <t>資料來源：本處路燈養護科。</t>
  </si>
  <si>
    <t>填表說明︰本表一式4份，1份送市府主計處，1份送市府建設局會計室，1份送本處會計室，1份自存。</t>
  </si>
  <si>
    <t>次年2月底前編報</t>
  </si>
  <si>
    <t>水銀燈</t>
  </si>
  <si>
    <t>200Ｗ(含)以下</t>
  </si>
  <si>
    <t>審核</t>
  </si>
  <si>
    <t>400Ｗ(含)以上</t>
  </si>
  <si>
    <t>鈉光燈</t>
  </si>
  <si>
    <t>150Ｗ(含)以下</t>
  </si>
  <si>
    <t>業務主管人員</t>
  </si>
  <si>
    <t>主辦統計人員</t>
  </si>
  <si>
    <t>250Ｗ</t>
  </si>
  <si>
    <t>400Ｗ</t>
  </si>
  <si>
    <t>日光燈</t>
  </si>
  <si>
    <t>40Ｗ</t>
  </si>
  <si>
    <t>機關首長</t>
  </si>
  <si>
    <t>編製機關</t>
  </si>
  <si>
    <t>表    號</t>
  </si>
  <si>
    <t>LED燈</t>
  </si>
  <si>
    <t>100Ｗ(含)以下</t>
  </si>
  <si>
    <t>150Ｗ(含)以上</t>
  </si>
  <si>
    <t>臺中市養護工程處</t>
  </si>
  <si>
    <t>20535-06-01-2</t>
  </si>
  <si>
    <t>單位：盞</t>
  </si>
  <si>
    <t>其他路燈</t>
  </si>
  <si>
    <t>中華民國109年2月5日編製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</si>
</sst>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_(* #,##0_);_(* \(#,##0\);_(* &quot;-&quot;??_);_(@_)"/>
    <numFmt numFmtId="178" formatCode="#,##0_ "/>
  </numFmts>
  <fonts count="9" x14ac:knownFonts="1">
    <font>
      <sz val="11"/>
      <color theme="1"/>
      <name val="Calibri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Border="0" applyAlignment="0" applyProtection="0"/>
    <xf numFmtId="176" fontId="2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177" fontId="3" fillId="0" borderId="1" xfId="2" applyNumberFormat="1" applyFont="1" applyBorder="1" applyAlignment="1">
      <alignment horizontal="right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178" fontId="3" fillId="0" borderId="0" xfId="1" applyNumberFormat="1" applyFont="1" applyAlignment="1">
      <alignment vertical="center" wrapText="1"/>
    </xf>
    <xf numFmtId="0" fontId="3" fillId="0" borderId="0" xfId="1" applyFont="1" applyAlignment="1">
      <alignment horizontal="right" vertical="top" wrapText="1"/>
    </xf>
    <xf numFmtId="0" fontId="7" fillId="0" borderId="0" xfId="1" applyFont="1" applyAlignment="1">
      <alignment vertical="center" wrapText="1"/>
    </xf>
    <xf numFmtId="177" fontId="3" fillId="0" borderId="1" xfId="2" applyNumberFormat="1" applyFont="1" applyBorder="1" applyAlignment="1">
      <alignment horizontal="right" vertical="center" wrapText="1"/>
    </xf>
    <xf numFmtId="177" fontId="3" fillId="0" borderId="9" xfId="2" applyNumberFormat="1" applyFont="1" applyBorder="1" applyAlignment="1">
      <alignment horizontal="righ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 wrapText="1"/>
    </xf>
    <xf numFmtId="0" fontId="3" fillId="0" borderId="3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177" fontId="3" fillId="0" borderId="10" xfId="2" applyNumberFormat="1" applyFont="1" applyBorder="1" applyAlignment="1">
      <alignment horizontal="right" vertical="center" wrapText="1"/>
    </xf>
    <xf numFmtId="0" fontId="3" fillId="0" borderId="6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3" fillId="0" borderId="8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3" fillId="0" borderId="7" xfId="1" applyFont="1" applyBorder="1" applyAlignment="1">
      <alignment horizontal="justify" vertical="center" wrapText="1"/>
    </xf>
    <xf numFmtId="0" fontId="3" fillId="0" borderId="0" xfId="1" applyFont="1" applyAlignment="1">
      <alignment horizontal="left" vertical="center" wrapText="1"/>
    </xf>
    <xf numFmtId="0" fontId="6" fillId="0" borderId="2" xfId="1" applyFont="1" applyBorder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showGridLines="0" tabSelected="1" zoomScale="70" workbookViewId="0">
      <pane xSplit="1" ySplit="6" topLeftCell="B28" activePane="bottomRight" state="frozen"/>
      <selection pane="topRight"/>
      <selection pane="bottomLeft"/>
      <selection pane="bottomRight" activeCell="I38" sqref="I38"/>
    </sheetView>
  </sheetViews>
  <sheetFormatPr defaultColWidth="9.28515625" defaultRowHeight="25.15" customHeight="1" x14ac:dyDescent="0.25"/>
  <cols>
    <col min="1" max="1" width="15.7109375" style="4" customWidth="1"/>
    <col min="2" max="9" width="20.7109375" style="4" customWidth="1"/>
    <col min="10" max="11" width="10.7109375" style="4" customWidth="1"/>
    <col min="12" max="12" width="15.7109375" style="4" customWidth="1"/>
    <col min="13" max="16384" width="9.28515625" style="4"/>
  </cols>
  <sheetData>
    <row r="1" spans="1:12" s="3" customFormat="1" ht="25.15" customHeight="1" x14ac:dyDescent="0.25">
      <c r="A1" s="1" t="s">
        <v>0</v>
      </c>
      <c r="B1" s="25"/>
      <c r="C1" s="26"/>
      <c r="D1" s="26"/>
      <c r="E1" s="26"/>
      <c r="F1" s="26"/>
      <c r="G1" s="27"/>
      <c r="H1" s="14" t="s">
        <v>52</v>
      </c>
      <c r="I1" s="15"/>
      <c r="J1" s="14" t="s">
        <v>57</v>
      </c>
      <c r="K1" s="15"/>
    </row>
    <row r="2" spans="1:12" s="3" customFormat="1" ht="25.15" customHeight="1" x14ac:dyDescent="0.25">
      <c r="A2" s="1" t="s">
        <v>1</v>
      </c>
      <c r="B2" s="22" t="s">
        <v>38</v>
      </c>
      <c r="C2" s="23"/>
      <c r="D2" s="23"/>
      <c r="E2" s="23"/>
      <c r="F2" s="23"/>
      <c r="G2" s="24"/>
      <c r="H2" s="14" t="s">
        <v>53</v>
      </c>
      <c r="I2" s="15"/>
      <c r="J2" s="14" t="s">
        <v>58</v>
      </c>
      <c r="K2" s="15"/>
    </row>
    <row r="3" spans="1:12" s="11" customFormat="1" ht="25.15" customHeight="1" x14ac:dyDescent="0.2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25.15" customHeight="1" x14ac:dyDescent="0.3">
      <c r="A4" s="19" t="s">
        <v>3</v>
      </c>
      <c r="B4" s="19"/>
      <c r="C4" s="19"/>
      <c r="D4" s="19"/>
      <c r="E4" s="20"/>
      <c r="F4" s="19"/>
      <c r="G4" s="19"/>
      <c r="H4" s="19"/>
      <c r="I4" s="19"/>
      <c r="J4" s="17" t="s">
        <v>59</v>
      </c>
      <c r="K4" s="18"/>
    </row>
    <row r="5" spans="1:12" s="3" customFormat="1" ht="25.15" customHeight="1" x14ac:dyDescent="0.25">
      <c r="A5" s="15" t="s">
        <v>4</v>
      </c>
      <c r="B5" s="16" t="s">
        <v>39</v>
      </c>
      <c r="C5" s="16"/>
      <c r="D5" s="16" t="s">
        <v>43</v>
      </c>
      <c r="E5" s="16"/>
      <c r="F5" s="16"/>
      <c r="G5" s="1" t="s">
        <v>49</v>
      </c>
      <c r="H5" s="16" t="s">
        <v>54</v>
      </c>
      <c r="I5" s="16"/>
      <c r="J5" s="16" t="s">
        <v>60</v>
      </c>
      <c r="K5" s="14"/>
    </row>
    <row r="6" spans="1:12" s="3" customFormat="1" ht="25.15" customHeight="1" x14ac:dyDescent="0.25">
      <c r="A6" s="15"/>
      <c r="B6" s="1" t="s">
        <v>40</v>
      </c>
      <c r="C6" s="1" t="s">
        <v>42</v>
      </c>
      <c r="D6" s="1" t="s">
        <v>44</v>
      </c>
      <c r="E6" s="1" t="s">
        <v>47</v>
      </c>
      <c r="F6" s="1" t="s">
        <v>48</v>
      </c>
      <c r="G6" s="1" t="s">
        <v>50</v>
      </c>
      <c r="H6" s="1" t="s">
        <v>55</v>
      </c>
      <c r="I6" s="1" t="s">
        <v>56</v>
      </c>
      <c r="J6" s="16"/>
      <c r="K6" s="14"/>
    </row>
    <row r="7" spans="1:12" ht="25.15" customHeight="1" x14ac:dyDescent="0.25">
      <c r="A7" s="2" t="s">
        <v>5</v>
      </c>
      <c r="B7" s="6">
        <f t="shared" ref="B7:I7" si="0">SUM(B8:B36)</f>
        <v>9044</v>
      </c>
      <c r="C7" s="6">
        <f t="shared" si="0"/>
        <v>0</v>
      </c>
      <c r="D7" s="6">
        <f t="shared" si="0"/>
        <v>59143</v>
      </c>
      <c r="E7" s="6">
        <f t="shared" si="0"/>
        <v>1357</v>
      </c>
      <c r="F7" s="6">
        <f t="shared" si="0"/>
        <v>3475</v>
      </c>
      <c r="G7" s="6">
        <f t="shared" si="0"/>
        <v>968</v>
      </c>
      <c r="H7" s="6">
        <f t="shared" si="0"/>
        <v>80634</v>
      </c>
      <c r="I7" s="6">
        <f t="shared" si="0"/>
        <v>29253</v>
      </c>
      <c r="J7" s="13">
        <f>SUM(J8:K36)</f>
        <v>8623</v>
      </c>
      <c r="K7" s="21"/>
      <c r="L7" s="9"/>
    </row>
    <row r="8" spans="1:12" ht="25.15" customHeight="1" x14ac:dyDescent="0.25">
      <c r="A8" s="2" t="s">
        <v>6</v>
      </c>
      <c r="B8" s="6">
        <f>86+0</f>
        <v>86</v>
      </c>
      <c r="C8" s="6">
        <v>0</v>
      </c>
      <c r="D8" s="6">
        <f>203+0</f>
        <v>203</v>
      </c>
      <c r="E8" s="6">
        <f>0+(0+2)+0</f>
        <v>2</v>
      </c>
      <c r="F8" s="6">
        <v>0</v>
      </c>
      <c r="G8" s="6">
        <v>0</v>
      </c>
      <c r="H8" s="6">
        <f>434+(0+1)+0</f>
        <v>435</v>
      </c>
      <c r="I8" s="6">
        <f>1+0</f>
        <v>1</v>
      </c>
      <c r="J8" s="12">
        <f>427+0</f>
        <v>427</v>
      </c>
      <c r="K8" s="13"/>
    </row>
    <row r="9" spans="1:12" ht="25.15" customHeight="1" x14ac:dyDescent="0.25">
      <c r="A9" s="2" t="s">
        <v>7</v>
      </c>
      <c r="B9" s="6">
        <f>197+0</f>
        <v>197</v>
      </c>
      <c r="C9" s="6">
        <v>0</v>
      </c>
      <c r="D9" s="6">
        <f>1866+(0+11)+0</f>
        <v>1877</v>
      </c>
      <c r="E9" s="6">
        <f>2+(0+8)+0</f>
        <v>10</v>
      </c>
      <c r="F9" s="6">
        <v>0</v>
      </c>
      <c r="G9" s="6">
        <f>3+0</f>
        <v>3</v>
      </c>
      <c r="H9" s="6">
        <f>1471+0</f>
        <v>1471</v>
      </c>
      <c r="I9" s="6">
        <f>956+(0+2)+0</f>
        <v>958</v>
      </c>
      <c r="J9" s="12">
        <f>330+0</f>
        <v>330</v>
      </c>
      <c r="K9" s="13"/>
    </row>
    <row r="10" spans="1:12" ht="25.15" customHeight="1" x14ac:dyDescent="0.25">
      <c r="A10" s="2" t="s">
        <v>8</v>
      </c>
      <c r="B10" s="6">
        <f>1229+0</f>
        <v>1229</v>
      </c>
      <c r="C10" s="6">
        <v>0</v>
      </c>
      <c r="D10" s="6">
        <f>747+(0+9)+0</f>
        <v>756</v>
      </c>
      <c r="E10" s="6">
        <f>5+(0+7)+0</f>
        <v>12</v>
      </c>
      <c r="F10" s="6">
        <v>0</v>
      </c>
      <c r="G10" s="6">
        <v>0</v>
      </c>
      <c r="H10" s="6">
        <f>2306+(0+2)+0</f>
        <v>2308</v>
      </c>
      <c r="I10" s="6">
        <f>823+(0+1)+0</f>
        <v>824</v>
      </c>
      <c r="J10" s="12">
        <f>388+0</f>
        <v>388</v>
      </c>
      <c r="K10" s="13"/>
    </row>
    <row r="11" spans="1:12" ht="25.15" customHeight="1" x14ac:dyDescent="0.25">
      <c r="A11" s="2" t="s">
        <v>9</v>
      </c>
      <c r="B11" s="6">
        <f>118+0</f>
        <v>118</v>
      </c>
      <c r="C11" s="6">
        <v>0</v>
      </c>
      <c r="D11" s="6">
        <f>1236+(0+5)+0</f>
        <v>1241</v>
      </c>
      <c r="E11" s="6">
        <f>3+(0+1)+0</f>
        <v>4</v>
      </c>
      <c r="F11" s="6">
        <v>0</v>
      </c>
      <c r="G11" s="6">
        <v>0</v>
      </c>
      <c r="H11" s="6">
        <f>1659+0</f>
        <v>1659</v>
      </c>
      <c r="I11" s="6">
        <f>1111+0</f>
        <v>1111</v>
      </c>
      <c r="J11" s="12">
        <f>261+0</f>
        <v>261</v>
      </c>
      <c r="K11" s="13"/>
    </row>
    <row r="12" spans="1:12" ht="25.15" customHeight="1" x14ac:dyDescent="0.25">
      <c r="A12" s="2" t="s">
        <v>10</v>
      </c>
      <c r="B12" s="6">
        <f>1193+0</f>
        <v>1193</v>
      </c>
      <c r="C12" s="6">
        <v>0</v>
      </c>
      <c r="D12" s="6">
        <f>1052+0</f>
        <v>1052</v>
      </c>
      <c r="E12" s="6">
        <f>2+0</f>
        <v>2</v>
      </c>
      <c r="F12" s="6">
        <v>0</v>
      </c>
      <c r="G12" s="6">
        <v>0</v>
      </c>
      <c r="H12" s="6">
        <f>1531+0</f>
        <v>1531</v>
      </c>
      <c r="I12" s="6">
        <f>464+0</f>
        <v>464</v>
      </c>
      <c r="J12" s="12">
        <f>38+0</f>
        <v>38</v>
      </c>
      <c r="K12" s="13"/>
    </row>
    <row r="13" spans="1:12" ht="25.15" customHeight="1" x14ac:dyDescent="0.25">
      <c r="A13" s="2" t="s">
        <v>11</v>
      </c>
      <c r="B13" s="6">
        <f>999+0</f>
        <v>999</v>
      </c>
      <c r="C13" s="6">
        <v>0</v>
      </c>
      <c r="D13" s="6">
        <f>5671+(0+3)+0</f>
        <v>5674</v>
      </c>
      <c r="E13" s="6">
        <f>77+(0+5)+0</f>
        <v>82</v>
      </c>
      <c r="F13" s="6">
        <v>0</v>
      </c>
      <c r="G13" s="6">
        <f>6+0</f>
        <v>6</v>
      </c>
      <c r="H13" s="6">
        <f>7633+0</f>
        <v>7633</v>
      </c>
      <c r="I13" s="6">
        <f>1650+0</f>
        <v>1650</v>
      </c>
      <c r="J13" s="12">
        <f>830+0</f>
        <v>830</v>
      </c>
      <c r="K13" s="13"/>
    </row>
    <row r="14" spans="1:12" ht="25.15" customHeight="1" x14ac:dyDescent="0.25">
      <c r="A14" s="2" t="s">
        <v>12</v>
      </c>
      <c r="B14" s="6">
        <f>507+0</f>
        <v>507</v>
      </c>
      <c r="C14" s="6">
        <v>0</v>
      </c>
      <c r="D14" s="6">
        <f>7146+(0+(15+12))+0</f>
        <v>7173</v>
      </c>
      <c r="E14" s="6">
        <f>59+(0+4)+0</f>
        <v>63</v>
      </c>
      <c r="F14" s="6">
        <v>0</v>
      </c>
      <c r="G14" s="6">
        <f>105+0</f>
        <v>105</v>
      </c>
      <c r="H14" s="6">
        <f>3902+(1+0)+0</f>
        <v>3903</v>
      </c>
      <c r="I14" s="6">
        <f>849+(0+1)+0</f>
        <v>850</v>
      </c>
      <c r="J14" s="12">
        <f>740+0</f>
        <v>740</v>
      </c>
      <c r="K14" s="13"/>
    </row>
    <row r="15" spans="1:12" ht="25.15" customHeight="1" x14ac:dyDescent="0.25">
      <c r="A15" s="2" t="s">
        <v>13</v>
      </c>
      <c r="B15" s="6">
        <v>0</v>
      </c>
      <c r="C15" s="6">
        <v>0</v>
      </c>
      <c r="D15" s="6">
        <f>2826+(0+(8+1))+0</f>
        <v>2835</v>
      </c>
      <c r="E15" s="6">
        <f>65+(0+(2+1))+0</f>
        <v>68</v>
      </c>
      <c r="F15" s="6">
        <v>0</v>
      </c>
      <c r="G15" s="6">
        <f>2+0</f>
        <v>2</v>
      </c>
      <c r="H15" s="6">
        <f>3766+(0+(1+1))+0</f>
        <v>3768</v>
      </c>
      <c r="I15" s="6">
        <f>2014+(0+(2+18))+0</f>
        <v>2034</v>
      </c>
      <c r="J15" s="12">
        <f>183+0</f>
        <v>183</v>
      </c>
      <c r="K15" s="13"/>
    </row>
    <row r="16" spans="1:12" ht="25.15" customHeight="1" x14ac:dyDescent="0.25">
      <c r="A16" s="2" t="s">
        <v>14</v>
      </c>
      <c r="B16" s="6">
        <f>1111+0</f>
        <v>1111</v>
      </c>
      <c r="C16" s="6">
        <v>0</v>
      </c>
      <c r="D16" s="6">
        <f>1187+(6+0)+0</f>
        <v>1193</v>
      </c>
      <c r="E16" s="6">
        <f>115+(1+0)+0</f>
        <v>116</v>
      </c>
      <c r="F16" s="6">
        <f>3+0</f>
        <v>3</v>
      </c>
      <c r="G16" s="6">
        <f>70+0</f>
        <v>70</v>
      </c>
      <c r="H16" s="6">
        <f>5636+(26+0)+66</f>
        <v>5728</v>
      </c>
      <c r="I16" s="6">
        <f>2145+(0+2)+7</f>
        <v>2154</v>
      </c>
      <c r="J16" s="12">
        <f>132+0</f>
        <v>132</v>
      </c>
      <c r="K16" s="13"/>
    </row>
    <row r="17" spans="1:11" ht="25.15" customHeight="1" x14ac:dyDescent="0.25">
      <c r="A17" s="2" t="s">
        <v>15</v>
      </c>
      <c r="B17" s="6">
        <v>0</v>
      </c>
      <c r="C17" s="6">
        <v>0</v>
      </c>
      <c r="D17" s="6">
        <f>1567+(88+4)+0</f>
        <v>1659</v>
      </c>
      <c r="E17" s="6">
        <f>104+(51+0)+30</f>
        <v>185</v>
      </c>
      <c r="F17" s="6">
        <f>4+0</f>
        <v>4</v>
      </c>
      <c r="G17" s="6">
        <f>166+0</f>
        <v>166</v>
      </c>
      <c r="H17" s="6">
        <f>2998+(2+0)+0</f>
        <v>3000</v>
      </c>
      <c r="I17" s="6">
        <f>445+0</f>
        <v>445</v>
      </c>
      <c r="J17" s="12">
        <f>575+0</f>
        <v>575</v>
      </c>
      <c r="K17" s="13"/>
    </row>
    <row r="18" spans="1:11" ht="25.15" customHeight="1" x14ac:dyDescent="0.25">
      <c r="A18" s="2" t="s">
        <v>16</v>
      </c>
      <c r="B18" s="6">
        <v>0</v>
      </c>
      <c r="C18" s="6">
        <v>0</v>
      </c>
      <c r="D18" s="6">
        <f>216+(2+1)+0</f>
        <v>219</v>
      </c>
      <c r="E18" s="6">
        <f>12+(0+8)+1</f>
        <v>21</v>
      </c>
      <c r="F18" s="6">
        <f>3335+0</f>
        <v>3335</v>
      </c>
      <c r="G18" s="6">
        <v>0</v>
      </c>
      <c r="H18" s="6">
        <f>1881+(0+0)+5</f>
        <v>1886</v>
      </c>
      <c r="I18" s="6">
        <f>689+(0+0)+3</f>
        <v>692</v>
      </c>
      <c r="J18" s="12">
        <f>53+0</f>
        <v>53</v>
      </c>
      <c r="K18" s="13"/>
    </row>
    <row r="19" spans="1:11" ht="25.15" customHeight="1" x14ac:dyDescent="0.25">
      <c r="A19" s="2" t="s">
        <v>17</v>
      </c>
      <c r="B19" s="6">
        <f>1120+0</f>
        <v>1120</v>
      </c>
      <c r="C19" s="6">
        <v>0</v>
      </c>
      <c r="D19" s="6">
        <f>1321+(10+0)+81</f>
        <v>1412</v>
      </c>
      <c r="E19" s="6">
        <v>0</v>
      </c>
      <c r="F19" s="6">
        <v>0</v>
      </c>
      <c r="G19" s="6">
        <f>9+0</f>
        <v>9</v>
      </c>
      <c r="H19" s="6">
        <f>3136+0</f>
        <v>3136</v>
      </c>
      <c r="I19" s="6">
        <f>576+0</f>
        <v>576</v>
      </c>
      <c r="J19" s="12">
        <f>222+0</f>
        <v>222</v>
      </c>
      <c r="K19" s="13"/>
    </row>
    <row r="20" spans="1:11" ht="25.15" customHeight="1" x14ac:dyDescent="0.25">
      <c r="A20" s="2" t="s">
        <v>18</v>
      </c>
      <c r="B20" s="6">
        <v>0</v>
      </c>
      <c r="C20" s="6">
        <v>0</v>
      </c>
      <c r="D20" s="6">
        <f>2123+(62+0)+0</f>
        <v>2185</v>
      </c>
      <c r="E20" s="6">
        <f>18+(3+0)+0</f>
        <v>21</v>
      </c>
      <c r="F20" s="6">
        <f>72+(0+0)+19</f>
        <v>91</v>
      </c>
      <c r="G20" s="6">
        <v>0</v>
      </c>
      <c r="H20" s="6">
        <f>3208+(2+0)+0</f>
        <v>3210</v>
      </c>
      <c r="I20" s="6">
        <f>320+0</f>
        <v>320</v>
      </c>
      <c r="J20" s="12">
        <f>310+0</f>
        <v>310</v>
      </c>
      <c r="K20" s="13"/>
    </row>
    <row r="21" spans="1:11" ht="25.15" customHeight="1" x14ac:dyDescent="0.25">
      <c r="A21" s="2" t="s">
        <v>19</v>
      </c>
      <c r="B21" s="6">
        <v>0</v>
      </c>
      <c r="C21" s="6">
        <v>0</v>
      </c>
      <c r="D21" s="6">
        <f>491+(80+6)+4</f>
        <v>581</v>
      </c>
      <c r="E21" s="6">
        <f>61+(1+0)+0</f>
        <v>62</v>
      </c>
      <c r="F21" s="6">
        <v>0</v>
      </c>
      <c r="G21" s="6">
        <v>0</v>
      </c>
      <c r="H21" s="6">
        <f>1634+0</f>
        <v>1634</v>
      </c>
      <c r="I21" s="6">
        <f>604+0</f>
        <v>604</v>
      </c>
      <c r="J21" s="12">
        <f>69+0</f>
        <v>69</v>
      </c>
      <c r="K21" s="13"/>
    </row>
    <row r="22" spans="1:11" ht="25.15" customHeight="1" x14ac:dyDescent="0.25">
      <c r="A22" s="2" t="s">
        <v>20</v>
      </c>
      <c r="B22" s="6">
        <f>487+0</f>
        <v>487</v>
      </c>
      <c r="C22" s="6">
        <v>0</v>
      </c>
      <c r="D22" s="6">
        <f>474+(16+0)+11</f>
        <v>501</v>
      </c>
      <c r="E22" s="6">
        <f>8+0</f>
        <v>8</v>
      </c>
      <c r="F22" s="6">
        <v>0</v>
      </c>
      <c r="G22" s="6">
        <v>0</v>
      </c>
      <c r="H22" s="6">
        <f>743+0</f>
        <v>743</v>
      </c>
      <c r="I22" s="6">
        <f>90+0</f>
        <v>90</v>
      </c>
      <c r="J22" s="12">
        <f>72+0</f>
        <v>72</v>
      </c>
      <c r="K22" s="13"/>
    </row>
    <row r="23" spans="1:11" ht="25.15" customHeight="1" x14ac:dyDescent="0.25">
      <c r="A23" s="2" t="s">
        <v>21</v>
      </c>
      <c r="B23" s="6">
        <f>494+0</f>
        <v>494</v>
      </c>
      <c r="C23" s="6">
        <v>0</v>
      </c>
      <c r="D23" s="6">
        <f>1792+(28+15)+96</f>
        <v>1931</v>
      </c>
      <c r="E23" s="6">
        <f>244+0</f>
        <v>244</v>
      </c>
      <c r="F23" s="6">
        <v>0</v>
      </c>
      <c r="G23" s="6">
        <f>14+0</f>
        <v>14</v>
      </c>
      <c r="H23" s="6">
        <f>926+0</f>
        <v>926</v>
      </c>
      <c r="I23" s="6">
        <f>171+0</f>
        <v>171</v>
      </c>
      <c r="J23" s="12">
        <f>1001+0</f>
        <v>1001</v>
      </c>
      <c r="K23" s="13"/>
    </row>
    <row r="24" spans="1:11" ht="25.15" customHeight="1" x14ac:dyDescent="0.25">
      <c r="A24" s="2" t="s">
        <v>22</v>
      </c>
      <c r="B24" s="6">
        <v>0</v>
      </c>
      <c r="C24" s="6">
        <v>0</v>
      </c>
      <c r="D24" s="6">
        <f>516+(67+5)+10</f>
        <v>598</v>
      </c>
      <c r="E24" s="6">
        <f>25+(11+0)+0</f>
        <v>36</v>
      </c>
      <c r="F24" s="6">
        <v>0</v>
      </c>
      <c r="G24" s="6">
        <v>0</v>
      </c>
      <c r="H24" s="6">
        <f>15+0</f>
        <v>15</v>
      </c>
      <c r="I24" s="6">
        <v>0</v>
      </c>
      <c r="J24" s="12">
        <f>954+0</f>
        <v>954</v>
      </c>
      <c r="K24" s="13"/>
    </row>
    <row r="25" spans="1:11" ht="25.15" customHeight="1" x14ac:dyDescent="0.25">
      <c r="A25" s="2" t="s">
        <v>23</v>
      </c>
      <c r="B25" s="6">
        <f>918+0</f>
        <v>918</v>
      </c>
      <c r="C25" s="6">
        <v>0</v>
      </c>
      <c r="D25" s="6">
        <f>2067+(0+80)+35</f>
        <v>2182</v>
      </c>
      <c r="E25" s="6">
        <f>0+(0+1)+0</f>
        <v>1</v>
      </c>
      <c r="F25" s="6">
        <v>0</v>
      </c>
      <c r="G25" s="6">
        <f>8+0</f>
        <v>8</v>
      </c>
      <c r="H25" s="6">
        <f>3513+0</f>
        <v>3513</v>
      </c>
      <c r="I25" s="6">
        <f>2408+0</f>
        <v>2408</v>
      </c>
      <c r="J25" s="12">
        <f>118+0</f>
        <v>118</v>
      </c>
      <c r="K25" s="13"/>
    </row>
    <row r="26" spans="1:11" ht="25.15" customHeight="1" x14ac:dyDescent="0.25">
      <c r="A26" s="2" t="s">
        <v>24</v>
      </c>
      <c r="B26" s="6">
        <v>0</v>
      </c>
      <c r="C26" s="6">
        <v>0</v>
      </c>
      <c r="D26" s="6">
        <f>2479+(0+3)+0</f>
        <v>2482</v>
      </c>
      <c r="E26" s="6">
        <f>6+(0+1)+29</f>
        <v>36</v>
      </c>
      <c r="F26" s="6">
        <v>0</v>
      </c>
      <c r="G26" s="6">
        <v>0</v>
      </c>
      <c r="H26" s="6">
        <f>1119+0</f>
        <v>1119</v>
      </c>
      <c r="I26" s="6">
        <f>2725+0</f>
        <v>2725</v>
      </c>
      <c r="J26" s="12">
        <f>76+0</f>
        <v>76</v>
      </c>
      <c r="K26" s="13"/>
    </row>
    <row r="27" spans="1:11" ht="25.15" customHeight="1" x14ac:dyDescent="0.25">
      <c r="A27" s="2" t="s">
        <v>25</v>
      </c>
      <c r="B27" s="6">
        <v>0</v>
      </c>
      <c r="C27" s="6">
        <v>0</v>
      </c>
      <c r="D27" s="6">
        <f>3265+(0+26)+0</f>
        <v>3291</v>
      </c>
      <c r="E27" s="6">
        <f>41+(0+1)+8</f>
        <v>50</v>
      </c>
      <c r="F27" s="6">
        <v>0</v>
      </c>
      <c r="G27" s="6">
        <f>24+0</f>
        <v>24</v>
      </c>
      <c r="H27" s="6">
        <f>2067+0</f>
        <v>2067</v>
      </c>
      <c r="I27" s="6">
        <f>1635+0</f>
        <v>1635</v>
      </c>
      <c r="J27" s="12">
        <f>71+0</f>
        <v>71</v>
      </c>
      <c r="K27" s="13"/>
    </row>
    <row r="28" spans="1:11" ht="25.15" customHeight="1" x14ac:dyDescent="0.25">
      <c r="A28" s="2" t="s">
        <v>26</v>
      </c>
      <c r="B28" s="6">
        <f>323+0</f>
        <v>323</v>
      </c>
      <c r="C28" s="6">
        <v>0</v>
      </c>
      <c r="D28" s="6">
        <f>866+(0+109)+0</f>
        <v>975</v>
      </c>
      <c r="E28" s="6">
        <v>0</v>
      </c>
      <c r="F28" s="6">
        <v>0</v>
      </c>
      <c r="G28" s="6">
        <v>0</v>
      </c>
      <c r="H28" s="6">
        <f>2402+0</f>
        <v>2402</v>
      </c>
      <c r="I28" s="6">
        <f>228+(0+0)+17</f>
        <v>245</v>
      </c>
      <c r="J28" s="12">
        <f>16+0</f>
        <v>16</v>
      </c>
      <c r="K28" s="13"/>
    </row>
    <row r="29" spans="1:11" ht="25.15" customHeight="1" x14ac:dyDescent="0.25">
      <c r="A29" s="2" t="s">
        <v>27</v>
      </c>
      <c r="B29" s="6">
        <v>0</v>
      </c>
      <c r="C29" s="6">
        <v>0</v>
      </c>
      <c r="D29" s="6">
        <f>1923+(0+(11+65))+65</f>
        <v>2064</v>
      </c>
      <c r="E29" s="6">
        <f>1+(0+2)+0</f>
        <v>3</v>
      </c>
      <c r="F29" s="6">
        <v>0</v>
      </c>
      <c r="G29" s="6">
        <f>561+0</f>
        <v>561</v>
      </c>
      <c r="H29" s="6">
        <f>3878+0</f>
        <v>3878</v>
      </c>
      <c r="I29" s="6">
        <f>1212+0</f>
        <v>1212</v>
      </c>
      <c r="J29" s="12">
        <f>144+0</f>
        <v>144</v>
      </c>
      <c r="K29" s="13"/>
    </row>
    <row r="30" spans="1:11" ht="25.15" customHeight="1" x14ac:dyDescent="0.25">
      <c r="A30" s="2" t="s">
        <v>28</v>
      </c>
      <c r="B30" s="6">
        <f>144+0</f>
        <v>144</v>
      </c>
      <c r="C30" s="6">
        <v>0</v>
      </c>
      <c r="D30" s="6">
        <f>275+(0+(5+4))+0</f>
        <v>284</v>
      </c>
      <c r="E30" s="6">
        <f>57+(0+0)+27</f>
        <v>84</v>
      </c>
      <c r="F30" s="6">
        <v>0</v>
      </c>
      <c r="G30" s="6">
        <v>0</v>
      </c>
      <c r="H30" s="6">
        <f>2055+0</f>
        <v>2055</v>
      </c>
      <c r="I30" s="6">
        <v>0</v>
      </c>
      <c r="J30" s="12">
        <f>595+0</f>
        <v>595</v>
      </c>
      <c r="K30" s="13"/>
    </row>
    <row r="31" spans="1:11" ht="25.15" customHeight="1" x14ac:dyDescent="0.25">
      <c r="A31" s="2" t="s">
        <v>29</v>
      </c>
      <c r="B31" s="6">
        <f>28+0</f>
        <v>28</v>
      </c>
      <c r="C31" s="6">
        <v>0</v>
      </c>
      <c r="D31" s="6">
        <f>3130+(0+24)+0</f>
        <v>3154</v>
      </c>
      <c r="E31" s="6">
        <f>47+0</f>
        <v>47</v>
      </c>
      <c r="F31" s="6">
        <v>0</v>
      </c>
      <c r="G31" s="6">
        <v>0</v>
      </c>
      <c r="H31" s="6">
        <f>4279+(0+2)+0</f>
        <v>4281</v>
      </c>
      <c r="I31" s="6">
        <f>2017+(0+1)+0</f>
        <v>2018</v>
      </c>
      <c r="J31" s="12">
        <f>220+0</f>
        <v>220</v>
      </c>
      <c r="K31" s="13"/>
    </row>
    <row r="32" spans="1:11" ht="25.15" customHeight="1" x14ac:dyDescent="0.25">
      <c r="A32" s="2" t="s">
        <v>30</v>
      </c>
      <c r="B32" s="6">
        <v>0</v>
      </c>
      <c r="C32" s="6">
        <v>0</v>
      </c>
      <c r="D32" s="6">
        <f>4020+(0+(3+143))+1</f>
        <v>4167</v>
      </c>
      <c r="E32" s="6">
        <f>99+(0+0)+13</f>
        <v>112</v>
      </c>
      <c r="F32" s="6">
        <v>0</v>
      </c>
      <c r="G32" s="6">
        <v>0</v>
      </c>
      <c r="H32" s="6">
        <f>5330+(0+7)+7</f>
        <v>5344</v>
      </c>
      <c r="I32" s="6">
        <f>1939+(0+0)+11</f>
        <v>1950</v>
      </c>
      <c r="J32" s="12">
        <f>226+0</f>
        <v>226</v>
      </c>
      <c r="K32" s="13"/>
    </row>
    <row r="33" spans="1:14" ht="25.15" customHeight="1" x14ac:dyDescent="0.25">
      <c r="A33" s="2" t="s">
        <v>31</v>
      </c>
      <c r="B33" s="6">
        <v>0</v>
      </c>
      <c r="C33" s="6">
        <v>0</v>
      </c>
      <c r="D33" s="6">
        <f>1183+(0+120)+0</f>
        <v>1303</v>
      </c>
      <c r="E33" s="6">
        <f>2+(0+4)+0</f>
        <v>6</v>
      </c>
      <c r="F33" s="6">
        <v>0</v>
      </c>
      <c r="G33" s="6">
        <v>0</v>
      </c>
      <c r="H33" s="6">
        <f>3542+0</f>
        <v>3542</v>
      </c>
      <c r="I33" s="6">
        <f>1079+0</f>
        <v>1079</v>
      </c>
      <c r="J33" s="12">
        <f>33+0</f>
        <v>33</v>
      </c>
      <c r="K33" s="13"/>
    </row>
    <row r="34" spans="1:14" ht="25.15" customHeight="1" x14ac:dyDescent="0.25">
      <c r="A34" s="2" t="s">
        <v>32</v>
      </c>
      <c r="B34" s="6">
        <v>0</v>
      </c>
      <c r="C34" s="6">
        <v>0</v>
      </c>
      <c r="D34" s="6">
        <f>2047+(0+56)+6</f>
        <v>2109</v>
      </c>
      <c r="E34" s="6">
        <f>24+(0+0)+5</f>
        <v>29</v>
      </c>
      <c r="F34" s="6">
        <v>0</v>
      </c>
      <c r="G34" s="6">
        <v>0</v>
      </c>
      <c r="H34" s="6">
        <f>1976+0</f>
        <v>1976</v>
      </c>
      <c r="I34" s="6">
        <f>1036+(0+1)+0</f>
        <v>1037</v>
      </c>
      <c r="J34" s="12">
        <f>55+0</f>
        <v>55</v>
      </c>
      <c r="K34" s="13"/>
    </row>
    <row r="35" spans="1:14" ht="25.15" customHeight="1" x14ac:dyDescent="0.25">
      <c r="A35" s="2" t="s">
        <v>33</v>
      </c>
      <c r="B35" s="6">
        <f>90+0</f>
        <v>90</v>
      </c>
      <c r="C35" s="6">
        <v>0</v>
      </c>
      <c r="D35" s="6">
        <f>2540+(0+139)+0</f>
        <v>2679</v>
      </c>
      <c r="E35" s="6">
        <f>12+0</f>
        <v>12</v>
      </c>
      <c r="F35" s="6">
        <f>40+0</f>
        <v>40</v>
      </c>
      <c r="G35" s="6">
        <v>0</v>
      </c>
      <c r="H35" s="6">
        <f>3965+0</f>
        <v>3965</v>
      </c>
      <c r="I35" s="6">
        <f>1110+0</f>
        <v>1110</v>
      </c>
      <c r="J35" s="12">
        <f>394+0</f>
        <v>394</v>
      </c>
      <c r="K35" s="13"/>
    </row>
    <row r="36" spans="1:14" ht="25.15" customHeight="1" x14ac:dyDescent="0.25">
      <c r="A36" s="2" t="s">
        <v>34</v>
      </c>
      <c r="B36" s="6">
        <v>0</v>
      </c>
      <c r="C36" s="6">
        <v>0</v>
      </c>
      <c r="D36" s="6">
        <f>3305+(0+11)+47</f>
        <v>3363</v>
      </c>
      <c r="E36" s="6">
        <f>36+(0+0)+5</f>
        <v>41</v>
      </c>
      <c r="F36" s="6">
        <f>2+0</f>
        <v>2</v>
      </c>
      <c r="G36" s="6">
        <v>0</v>
      </c>
      <c r="H36" s="6">
        <f>3506+0</f>
        <v>3506</v>
      </c>
      <c r="I36" s="6">
        <f>890+0</f>
        <v>890</v>
      </c>
      <c r="J36" s="12">
        <f>90+0</f>
        <v>90</v>
      </c>
      <c r="K36" s="13"/>
    </row>
    <row r="37" spans="1:14" s="7" customFormat="1" ht="25.15" customHeight="1" x14ac:dyDescent="0.3">
      <c r="H37" s="8"/>
      <c r="I37" s="29" t="s">
        <v>61</v>
      </c>
      <c r="J37" s="29"/>
      <c r="K37" s="29"/>
      <c r="L37" s="10"/>
      <c r="M37" s="10"/>
      <c r="N37" s="10"/>
    </row>
    <row r="38" spans="1:14" ht="25.15" customHeight="1" x14ac:dyDescent="0.25">
      <c r="A38" s="3" t="s">
        <v>35</v>
      </c>
      <c r="B38" s="30" t="s">
        <v>41</v>
      </c>
      <c r="C38" s="30"/>
      <c r="D38" s="3" t="s">
        <v>45</v>
      </c>
      <c r="E38" s="3"/>
      <c r="F38" s="3"/>
      <c r="G38" s="30" t="s">
        <v>51</v>
      </c>
      <c r="H38" s="30"/>
      <c r="I38" s="5"/>
      <c r="J38" s="5"/>
      <c r="K38" s="5"/>
    </row>
    <row r="39" spans="1:14" ht="25.15" customHeight="1" x14ac:dyDescent="0.3">
      <c r="C39" s="7"/>
      <c r="D39" s="3" t="s">
        <v>46</v>
      </c>
    </row>
    <row r="41" spans="1:14" ht="25.15" customHeight="1" x14ac:dyDescent="0.25">
      <c r="A41" s="28" t="s">
        <v>36</v>
      </c>
      <c r="B41" s="28"/>
    </row>
    <row r="42" spans="1:14" ht="25.15" customHeight="1" x14ac:dyDescent="0.25">
      <c r="A42" s="28" t="s">
        <v>37</v>
      </c>
      <c r="B42" s="28"/>
      <c r="C42" s="28"/>
      <c r="D42" s="28"/>
      <c r="E42" s="28"/>
      <c r="F42" s="28"/>
    </row>
    <row r="43" spans="1:14" ht="25.15" customHeight="1" x14ac:dyDescent="0.25">
      <c r="A43" s="5"/>
    </row>
  </sheetData>
  <mergeCells count="49">
    <mergeCell ref="B2:G2"/>
    <mergeCell ref="B1:G1"/>
    <mergeCell ref="A41:B41"/>
    <mergeCell ref="A42:F42"/>
    <mergeCell ref="I37:K37"/>
    <mergeCell ref="B38:C38"/>
    <mergeCell ref="A3:K3"/>
    <mergeCell ref="G38:H38"/>
    <mergeCell ref="J9:K9"/>
    <mergeCell ref="J10:K10"/>
    <mergeCell ref="J36:K36"/>
    <mergeCell ref="H5:I5"/>
    <mergeCell ref="J4:K4"/>
    <mergeCell ref="J14:K14"/>
    <mergeCell ref="A4:I4"/>
    <mergeCell ref="J16:K16"/>
    <mergeCell ref="J17:K17"/>
    <mergeCell ref="A5:A6"/>
    <mergeCell ref="B5:C5"/>
    <mergeCell ref="D5:F5"/>
    <mergeCell ref="J7:K7"/>
    <mergeCell ref="J11:K11"/>
    <mergeCell ref="J8:K8"/>
    <mergeCell ref="J12:K12"/>
    <mergeCell ref="J13:K13"/>
    <mergeCell ref="H1:I1"/>
    <mergeCell ref="J1:K1"/>
    <mergeCell ref="H2:I2"/>
    <mergeCell ref="J2:K2"/>
    <mergeCell ref="J5:K6"/>
    <mergeCell ref="J29:K29"/>
    <mergeCell ref="J30:K30"/>
    <mergeCell ref="J22:K22"/>
    <mergeCell ref="J19:K19"/>
    <mergeCell ref="J20:K20"/>
    <mergeCell ref="J21:K21"/>
    <mergeCell ref="J23:K23"/>
    <mergeCell ref="J24:K24"/>
    <mergeCell ref="J15:K15"/>
    <mergeCell ref="J25:K25"/>
    <mergeCell ref="J26:K26"/>
    <mergeCell ref="J27:K27"/>
    <mergeCell ref="J28:K28"/>
    <mergeCell ref="J18:K18"/>
    <mergeCell ref="J31:K31"/>
    <mergeCell ref="J32:K32"/>
    <mergeCell ref="J33:K33"/>
    <mergeCell ref="J34:K34"/>
    <mergeCell ref="J35:K35"/>
  </mergeCells>
  <phoneticPr fontId="8" type="noConversion"/>
  <printOptions horizontalCentered="1"/>
  <pageMargins left="0.78740157480314998" right="0.78740157480314998" top="0.78740157480314998" bottom="0.59055118110236204" header="0.196850393700787" footer="0.196850393700787"/>
  <pageSetup paperSize="9" scale="50" firstPageNumber="147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臺中市路燈設備</vt:lpstr>
      <vt:lpstr>臺中市路燈設備!Print_Area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tatung</cp:lastModifiedBy>
  <dcterms:modified xsi:type="dcterms:W3CDTF">2020-03-06T07:12:23Z</dcterms:modified>
</cp:coreProperties>
</file>